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ashboard" sheetId="1" state="visible" r:id="rId3"/>
    <sheet name="Inputs" sheetId="2" state="visible" r:id="rId4"/>
    <sheet name="Monthly" sheetId="3" state="visible" r:id="rId5"/>
    <sheet name="P&amp;L" sheetId="4" state="visible" r:id="rId6"/>
    <sheet name="Cash Flow" sheetId="5" state="visible" r:id="rId7"/>
    <sheet name="Balance Sheet" sheetId="6" state="visible" r:id="rId8"/>
    <sheet name="Headcount" sheetId="7" state="visible" r:id="rId9"/>
    <sheet name="Returns" sheetId="8" state="visible" r:id="rId10"/>
    <sheet name="Checks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<sst xmlns="http://schemas.openxmlformats.org/spreadsheetml/2006/main" count="426" uniqueCount="282">
  <si>
    <t xml:space="preserve">Rental property financial model (early)</t>
  </si>
  <si>
    <t xml:space="preserve">Change the scenario in B4 (1 = Low, 2 = Base, 3 = High); every sheet recalculates.</t>
  </si>
  <si>
    <t xml:space="preserve">Scenario selector</t>
  </si>
  <si>
    <t xml:space="preserve">Key metrics</t>
  </si>
  <si>
    <t xml:space="preserve">Year 1</t>
  </si>
  <si>
    <t xml:space="preserve">Year 2</t>
  </si>
  <si>
    <t xml:space="preserve">Year 3</t>
  </si>
  <si>
    <t xml:space="preserve">Revenue</t>
  </si>
  <si>
    <t xml:space="preserve">Gross profit</t>
  </si>
  <si>
    <t xml:space="preserve">EBITDA</t>
  </si>
  <si>
    <t xml:space="preserve">EBITDA margin</t>
  </si>
  <si>
    <t xml:space="preserve">Net income</t>
  </si>
  <si>
    <t xml:space="preserve">Year-end cash</t>
  </si>
  <si>
    <t xml:space="preserve">Year-end loan balance</t>
  </si>
  <si>
    <t xml:space="preserve">Total FTE (year end)</t>
  </si>
  <si>
    <t xml:space="preserve">Health</t>
  </si>
  <si>
    <t xml:space="preserve">First month with positive EBITDA</t>
  </si>
  <si>
    <t xml:space="preserve">Lowest cash balance</t>
  </si>
  <si>
    <t xml:space="preserve">Month of lowest cash</t>
  </si>
  <si>
    <t xml:space="preserve">Model checks</t>
  </si>
  <si>
    <t xml:space="preserve">Property metrics</t>
  </si>
  <si>
    <t xml:space="preserve">Year #</t>
  </si>
  <si>
    <t xml:space="preserve">Average rent per unit per month</t>
  </si>
  <si>
    <t xml:space="preserve">Gross potential rent</t>
  </si>
  <si>
    <t xml:space="preserve">Vacancy &amp; credit loss</t>
  </si>
  <si>
    <t xml:space="preserve">Economic occupancy (collected ÷ potential rent)</t>
  </si>
  <si>
    <t xml:space="preserve">Revenue (effective gross income)</t>
  </si>
  <si>
    <t xml:space="preserve">Net operating income (NOI = EBITDA)</t>
  </si>
  <si>
    <t xml:space="preserve">NOI margin</t>
  </si>
  <si>
    <t xml:space="preserve">Operating expense ratio</t>
  </si>
  <si>
    <t xml:space="preserve">NOI per unit</t>
  </si>
  <si>
    <t xml:space="preserve">NOI ÷ purchase price</t>
  </si>
  <si>
    <t xml:space="preserve">Debt service (interest + principal)</t>
  </si>
  <si>
    <t xml:space="preserve">Debt service coverage (NOI ÷ debt service)</t>
  </si>
  <si>
    <t xml:space="preserve">Loan balance (year end)</t>
  </si>
  <si>
    <t xml:space="preserve">Loan ÷ purchase price (year end)</t>
  </si>
  <si>
    <t xml:space="preserve">Inputs — Low / Base / High</t>
  </si>
  <si>
    <t xml:space="preserve">Illustrative assumptions — replace them with your own numbers.</t>
  </si>
  <si>
    <t xml:space="preserve">Driver</t>
  </si>
  <si>
    <t xml:space="preserve">Low</t>
  </si>
  <si>
    <t xml:space="preserve">Base</t>
  </si>
  <si>
    <t xml:space="preserve">High</t>
  </si>
  <si>
    <t xml:space="preserve">Active</t>
  </si>
  <si>
    <t xml:space="preserve">Unit</t>
  </si>
  <si>
    <t xml:space="preserve">Note</t>
  </si>
  <si>
    <t xml:space="preserve">Property</t>
  </si>
  <si>
    <t xml:space="preserve">Purchase price</t>
  </si>
  <si>
    <t xml:space="preserve">$</t>
  </si>
  <si>
    <t xml:space="preserve">Land share of the price (not depreciated)</t>
  </si>
  <si>
    <t xml:space="preserve">%</t>
  </si>
  <si>
    <t xml:space="preserve">Closing costs, % of price</t>
  </si>
  <si>
    <t xml:space="preserve">Low ≥ Base ≥ High (lower is better)</t>
  </si>
  <si>
    <t xml:space="preserve">Rentable units</t>
  </si>
  <si>
    <t xml:space="preserve">#</t>
  </si>
  <si>
    <t xml:space="preserve">Rent roll</t>
  </si>
  <si>
    <t xml:space="preserve">Average rent per unit per month (year 1)</t>
  </si>
  <si>
    <t xml:space="preserve">Low ≤ Base ≤ High</t>
  </si>
  <si>
    <t xml:space="preserve">Rent growth per year</t>
  </si>
  <si>
    <t xml:space="preserve">Vacancy &amp; credit loss, % of potential rent</t>
  </si>
  <si>
    <t xml:space="preserve">Other income per unit per month (parking, laundry, fees)</t>
  </si>
  <si>
    <t xml:space="preserve">Operating costs</t>
  </si>
  <si>
    <t xml:space="preserve">Repairs &amp; maintenance, % of collected rent</t>
  </si>
  <si>
    <t xml:space="preserve">Owner-paid utilities &amp; common areas per month</t>
  </si>
  <si>
    <t xml:space="preserve">Property tax per year, % of purchase price</t>
  </si>
  <si>
    <t xml:space="preserve">Insurance per unit per year</t>
  </si>
  <si>
    <t xml:space="preserve">Property management fee, % of revenue</t>
  </si>
  <si>
    <t xml:space="preserve">Legal, accounting &amp; other G&amp;A per month</t>
  </si>
  <si>
    <t xml:space="preserve">Operating cost inflation per year</t>
  </si>
  <si>
    <t xml:space="preserve">Capital reserve per unit per year (roofs, appliances)</t>
  </si>
  <si>
    <t xml:space="preserve">Sale &amp; returns</t>
  </si>
  <si>
    <t xml:space="preserve">Exit cap rate (next-year NOI ÷ sale price)</t>
  </si>
  <si>
    <t xml:space="preserve">Selling costs, % of sale price</t>
  </si>
  <si>
    <t xml:space="preserve">Discount rate for NPV (your target return)</t>
  </si>
  <si>
    <t xml:space="preserve">Funding</t>
  </si>
  <si>
    <t xml:space="preserve">Equity raised at start</t>
  </si>
  <si>
    <t xml:space="preserve">Loan drawn at start</t>
  </si>
  <si>
    <t xml:space="preserve">Loan interest rate per year</t>
  </si>
  <si>
    <t xml:space="preserve">Loan repayment term</t>
  </si>
  <si>
    <t xml:space="preserve">years</t>
  </si>
  <si>
    <t xml:space="preserve">Working capital</t>
  </si>
  <si>
    <t xml:space="preserve">Customer payment terms (receivable days)</t>
  </si>
  <si>
    <t xml:space="preserve">days</t>
  </si>
  <si>
    <t xml:space="preserve">Inventory held (days of COGS)</t>
  </si>
  <si>
    <t xml:space="preserve">Supplier payment terms (payable days)</t>
  </si>
  <si>
    <t xml:space="preserve">Tax &amp; depreciation</t>
  </si>
  <si>
    <t xml:space="preserve">Depreciation period for capex</t>
  </si>
  <si>
    <t xml:space="preserve">Income tax rate</t>
  </si>
  <si>
    <t xml:space="preserve">Legend: blue = input you can change · black = formula · green = link to another sheet · yellow = scenario selector. Column E follows the selected scenario.</t>
  </si>
  <si>
    <t xml:space="preserve">Monthly projection</t>
  </si>
  <si>
    <t xml:space="preserve">$ unless stated; costs shown as negatives. Every period uses the same formula.</t>
  </si>
  <si>
    <t xml:space="preserve">Month</t>
  </si>
  <si>
    <t xml:space="preserve">M1</t>
  </si>
  <si>
    <t xml:space="preserve">M2</t>
  </si>
  <si>
    <t xml:space="preserve">M3</t>
  </si>
  <si>
    <t xml:space="preserve">M4</t>
  </si>
  <si>
    <t xml:space="preserve">M5</t>
  </si>
  <si>
    <t xml:space="preserve">M6</t>
  </si>
  <si>
    <t xml:space="preserve">M7</t>
  </si>
  <si>
    <t xml:space="preserve">M8</t>
  </si>
  <si>
    <t xml:space="preserve">M9</t>
  </si>
  <si>
    <t xml:space="preserve">M10</t>
  </si>
  <si>
    <t xml:space="preserve">M11</t>
  </si>
  <si>
    <t xml:space="preserve">M12</t>
  </si>
  <si>
    <t xml:space="preserve">M13</t>
  </si>
  <si>
    <t xml:space="preserve">M14</t>
  </si>
  <si>
    <t xml:space="preserve">M15</t>
  </si>
  <si>
    <t xml:space="preserve">M16</t>
  </si>
  <si>
    <t xml:space="preserve">M17</t>
  </si>
  <si>
    <t xml:space="preserve">M18</t>
  </si>
  <si>
    <t xml:space="preserve">M19</t>
  </si>
  <si>
    <t xml:space="preserve">M20</t>
  </si>
  <si>
    <t xml:space="preserve">M21</t>
  </si>
  <si>
    <t xml:space="preserve">M22</t>
  </si>
  <si>
    <t xml:space="preserve">M23</t>
  </si>
  <si>
    <t xml:space="preserve">M24</t>
  </si>
  <si>
    <t xml:space="preserve">M25</t>
  </si>
  <si>
    <t xml:space="preserve">M26</t>
  </si>
  <si>
    <t xml:space="preserve">M27</t>
  </si>
  <si>
    <t xml:space="preserve">M28</t>
  </si>
  <si>
    <t xml:space="preserve">M29</t>
  </si>
  <si>
    <t xml:space="preserve">M30</t>
  </si>
  <si>
    <t xml:space="preserve">M31</t>
  </si>
  <si>
    <t xml:space="preserve">M32</t>
  </si>
  <si>
    <t xml:space="preserve">M33</t>
  </si>
  <si>
    <t xml:space="preserve">M34</t>
  </si>
  <si>
    <t xml:space="preserve">M35</t>
  </si>
  <si>
    <t xml:space="preserve">M36</t>
  </si>
  <si>
    <t xml:space="preserve">Period #</t>
  </si>
  <si>
    <t xml:space="preserve">Gross potential rent (all units let)</t>
  </si>
  <si>
    <t xml:space="preserve">Other income (parking, laundry, fees)</t>
  </si>
  <si>
    <t xml:space="preserve">Direct property costs</t>
  </si>
  <si>
    <t xml:space="preserve">Repairs &amp; maintenance</t>
  </si>
  <si>
    <t xml:space="preserve">Owner-paid utilities &amp; common areas</t>
  </si>
  <si>
    <t xml:space="preserve">Operating expenses</t>
  </si>
  <si>
    <t xml:space="preserve">Property tax</t>
  </si>
  <si>
    <t xml:space="preserve">Insurance</t>
  </si>
  <si>
    <t xml:space="preserve">Property management</t>
  </si>
  <si>
    <t xml:space="preserve">Legal, accounting &amp; other G&amp;A</t>
  </si>
  <si>
    <t xml:space="preserve">Total operating expenses</t>
  </si>
  <si>
    <t xml:space="preserve">Profit after depreciation, interest, tax</t>
  </si>
  <si>
    <t xml:space="preserve">EBIT</t>
  </si>
  <si>
    <t xml:space="preserve">Interest on loan (balance after drawdown, start of period)</t>
  </si>
  <si>
    <t xml:space="preserve">Pre-tax income</t>
  </si>
  <si>
    <t xml:space="preserve">Helper: cumulative pre-tax income</t>
  </si>
  <si>
    <t xml:space="preserve">Helper: cumulative taxable income (losses carried forward)</t>
  </si>
  <si>
    <t xml:space="preserve">Income tax</t>
  </si>
  <si>
    <t xml:space="preserve">Fixed assets &amp; capital spending</t>
  </si>
  <si>
    <t xml:space="preserve">Property purchase incl. closing costs</t>
  </si>
  <si>
    <t xml:space="preserve">of which land (not depreciated)</t>
  </si>
  <si>
    <t xml:space="preserve">Capital reserve spent</t>
  </si>
  <si>
    <t xml:space="preserve">Capital spending</t>
  </si>
  <si>
    <t xml:space="preserve">Fixed assets at cost</t>
  </si>
  <si>
    <t xml:space="preserve">Land at cost (not depreciated)</t>
  </si>
  <si>
    <t xml:space="preserve">Depreciation</t>
  </si>
  <si>
    <t xml:space="preserve">Accumulated depreciation</t>
  </si>
  <si>
    <t xml:space="preserve">Net fixed assets</t>
  </si>
  <si>
    <t xml:space="preserve">Debt</t>
  </si>
  <si>
    <t xml:space="preserve">Loan — opening balance</t>
  </si>
  <si>
    <t xml:space="preserve">Loan drawdown</t>
  </si>
  <si>
    <t xml:space="preserve">Scheduled loan payment (principal + interest, level)</t>
  </si>
  <si>
    <t xml:space="preserve">Loan repayment (principal)</t>
  </si>
  <si>
    <t xml:space="preserve">Loan — closing balance</t>
  </si>
  <si>
    <t xml:space="preserve">Accounts receivable</t>
  </si>
  <si>
    <t xml:space="preserve">Inventory</t>
  </si>
  <si>
    <t xml:space="preserve">Accounts payable</t>
  </si>
  <si>
    <t xml:space="preserve">(Increase) / decrease in receivables</t>
  </si>
  <si>
    <t xml:space="preserve">(Increase) / decrease in inventory</t>
  </si>
  <si>
    <t xml:space="preserve">Increase / (decrease) in payables</t>
  </si>
  <si>
    <t xml:space="preserve">Cash flow</t>
  </si>
  <si>
    <t xml:space="preserve">Operating cash flow</t>
  </si>
  <si>
    <t xml:space="preserve">Investing cash flow (capex)</t>
  </si>
  <si>
    <t xml:space="preserve">Equity raised</t>
  </si>
  <si>
    <t xml:space="preserve">Financing cash flow</t>
  </si>
  <si>
    <t xml:space="preserve">Net cash flow</t>
  </si>
  <si>
    <t xml:space="preserve">Opening cash</t>
  </si>
  <si>
    <t xml:space="preserve">Closing cash</t>
  </si>
  <si>
    <t xml:space="preserve">Helper: EBITDA positive (1/0)</t>
  </si>
  <si>
    <t xml:space="preserve">Balance sheet</t>
  </si>
  <si>
    <t xml:space="preserve">Paid-in capital</t>
  </si>
  <si>
    <t xml:space="preserve">Retained earnings</t>
  </si>
  <si>
    <t xml:space="preserve">Total assets</t>
  </si>
  <si>
    <t xml:space="preserve">Total liabilities</t>
  </si>
  <si>
    <t xml:space="preserve">Total equity</t>
  </si>
  <si>
    <t xml:space="preserve">Total liabilities &amp; equity</t>
  </si>
  <si>
    <t xml:space="preserve">Check: assets − liabilities − equity</t>
  </si>
  <si>
    <t xml:space="preserve">Annual profit &amp; loss</t>
  </si>
  <si>
    <t xml:space="preserve">Rolled up from the period detail (SUMIF on the year row; balances at year end).</t>
  </si>
  <si>
    <t xml:space="preserve">Gross margin</t>
  </si>
  <si>
    <t xml:space="preserve">Interest</t>
  </si>
  <si>
    <t xml:space="preserve">Net margin</t>
  </si>
  <si>
    <t xml:space="preserve">Annual cash flow statement</t>
  </si>
  <si>
    <t xml:space="preserve">Add back depreciation</t>
  </si>
  <si>
    <t xml:space="preserve">Loan repayment</t>
  </si>
  <si>
    <t xml:space="preserve">Net change in cash</t>
  </si>
  <si>
    <t xml:space="preserve">Balance sheet at year end</t>
  </si>
  <si>
    <t xml:space="preserve">Cash</t>
  </si>
  <si>
    <t xml:space="preserve">Loan</t>
  </si>
  <si>
    <t xml:space="preserve">Check: assets − liabilities − equity (must be 0)</t>
  </si>
  <si>
    <t xml:space="preserve">Headcount &amp; payroll</t>
  </si>
  <si>
    <t xml:space="preserve">Total FTE</t>
  </si>
  <si>
    <t xml:space="preserve">Total payroll</t>
  </si>
  <si>
    <t xml:space="preserve">Property returns — purchase, hold and sale</t>
  </si>
  <si>
    <t xml:space="preserve">Live for the selected scenario. Year 0 = purchase; sale at the end of year 3. Cash flows before income tax.</t>
  </si>
  <si>
    <t xml:space="preserve">Scenario shown</t>
  </si>
  <si>
    <t xml:space="preserve">Purchase (active scenario, from the Inputs sheet)</t>
  </si>
  <si>
    <t xml:space="preserve">Closing costs</t>
  </si>
  <si>
    <t xml:space="preserve">All-in purchase cost</t>
  </si>
  <si>
    <t xml:space="preserve">Loan drawn at purchase</t>
  </si>
  <si>
    <t xml:space="preserve">Equity invested in the property</t>
  </si>
  <si>
    <t xml:space="preserve">Loan-to-value at purchase</t>
  </si>
  <si>
    <t xml:space="preserve">Cash flows by year</t>
  </si>
  <si>
    <t xml:space="preserve">Year 0</t>
  </si>
  <si>
    <t xml:space="preserve">Purchase incl. closing costs</t>
  </si>
  <si>
    <t xml:space="preserve">Capital reserves (capex other than the purchase)</t>
  </si>
  <si>
    <t xml:space="preserve">Sale proceeds, net of selling costs</t>
  </si>
  <si>
    <t xml:space="preserve">Unlevered cash flow (property, before tax)</t>
  </si>
  <si>
    <t xml:space="preserve">Loan drawn</t>
  </si>
  <si>
    <t xml:space="preserve">Principal repaid</t>
  </si>
  <si>
    <t xml:space="preserve">Loan balance repaid at sale</t>
  </si>
  <si>
    <t xml:space="preserve">Levered cash flow (equity, before tax)</t>
  </si>
  <si>
    <t xml:space="preserve">Cash-on-cash return (levered cash flow before sale ÷ equity invested)</t>
  </si>
  <si>
    <t xml:space="preserve">Helper: sign of the unlevered cash flow (a zero keeps the previous sign)</t>
  </si>
  <si>
    <t xml:space="preserve">Helper: sign of the levered cash flow (a zero keeps the previous sign)</t>
  </si>
  <si>
    <t xml:space="preserve">Sale at the end of year 3</t>
  </si>
  <si>
    <t xml:space="preserve">Year 4 NOI (year 3 NOI × (1 + rent growth))</t>
  </si>
  <si>
    <t xml:space="preserve">Exit cap rate</t>
  </si>
  <si>
    <t xml:space="preserve">Sale price (next-year NOI ÷ exit cap rate)</t>
  </si>
  <si>
    <t xml:space="preserve">Selling costs</t>
  </si>
  <si>
    <t xml:space="preserve">Net sale proceeds</t>
  </si>
  <si>
    <t xml:space="preserve">Loan balance at the end of year 3</t>
  </si>
  <si>
    <t xml:space="preserve">Net proceeds to equity</t>
  </si>
  <si>
    <t xml:space="preserve">Returns</t>
  </si>
  <si>
    <t xml:space="preserve">Unlevered</t>
  </si>
  <si>
    <t xml:space="preserve">Levered</t>
  </si>
  <si>
    <t xml:space="preserve">Internal rate of return (IRR)</t>
  </si>
  <si>
    <t xml:space="preserve">Helper: IRR starting estimate ((inflows ÷ outflows) ^ (1 ÷ years) − 1)</t>
  </si>
  <si>
    <t xml:space="preserve">Helper: IRR defined (1 = one sign change and inflows ≥ 25% of outflows)</t>
  </si>
  <si>
    <t xml:space="preserve">Discount rate for NPV</t>
  </si>
  <si>
    <t xml:space="preserve">Net present value at the discount rate</t>
  </si>
  <si>
    <t xml:space="preserve">Total profit (sum of cash flows)</t>
  </si>
  <si>
    <t xml:space="preserve">Multiple of money invested (inflows ÷ year-0 outflow)</t>
  </si>
  <si>
    <t xml:space="preserve">Going-in cap rate (year-1 NOI ÷ purchase price)</t>
  </si>
  <si>
    <t xml:space="preserve">IRR and NPV use yearly flows with the purchase at year 0 and the sale at the end of the final year. n/a = no debt service or no equity invested; IRR n/a = the flows change sign more than once (IRR not unique) or return less than 25% of the money put in.</t>
  </si>
  <si>
    <t xml:space="preserve">Live formulas: they re-run every time an input changes.</t>
  </si>
  <si>
    <t xml:space="preserve">Check</t>
  </si>
  <si>
    <t xml:space="preserve">Result</t>
  </si>
  <si>
    <t xml:space="preserve">What it tests</t>
  </si>
  <si>
    <t xml:space="preserve">Annual revenue ties to period detail</t>
  </si>
  <si>
    <t xml:space="preserve">Sum of annual revenue equals the sum of every period</t>
  </si>
  <si>
    <t xml:space="preserve">Annual net income ties to period detail</t>
  </si>
  <si>
    <t xml:space="preserve">Sum of annual net income equals the sum of every period</t>
  </si>
  <si>
    <t xml:space="preserve">EBITDA reconciliation</t>
  </si>
  <si>
    <t xml:space="preserve">EBITDA = gross profit + operating expenses (costs are negative)</t>
  </si>
  <si>
    <t xml:space="preserve">Cash roll-forward</t>
  </si>
  <si>
    <t xml:space="preserve">Closing cash = all net cash flows since the start (opening cash is zero)</t>
  </si>
  <si>
    <t xml:space="preserve">Scenario selector valid</t>
  </si>
  <si>
    <t xml:space="preserve">Dashboard!B4 is 1, 2 or 3</t>
  </si>
  <si>
    <t xml:space="preserve">Scenario ordering of drivers</t>
  </si>
  <si>
    <t xml:space="preserve">Low / Base / High ordered the right way for every growth and cost driver</t>
  </si>
  <si>
    <t xml:space="preserve">Gross margin within 0–100%</t>
  </si>
  <si>
    <t xml:space="preserve">Gross margin never negative or above 100%</t>
  </si>
  <si>
    <t xml:space="preserve">Loan balance never negative</t>
  </si>
  <si>
    <t xml:space="preserve">Repayments never exceed the loan</t>
  </si>
  <si>
    <t xml:space="preserve">Returns: NOI ties to EBITDA</t>
  </si>
  <si>
    <t xml:space="preserve">NOI on the Returns sheet equals EBITDA summed over every period</t>
  </si>
  <si>
    <t xml:space="preserve">Returns: purchase ties to capital spending</t>
  </si>
  <si>
    <t xml:space="preserve">Purchase price + closing costs equals the purchase in the capex line</t>
  </si>
  <si>
    <t xml:space="preserve">Returns: loan fully repaid at sale</t>
  </si>
  <si>
    <t xml:space="preserve">Drawdown = principal repaid + balance repaid from the sale</t>
  </si>
  <si>
    <t xml:space="preserve">Returns: IRR discounts cash flows to zero</t>
  </si>
  <si>
    <t xml:space="preserve">NPV of the unlevered cash flows at their IRR is zero</t>
  </si>
  <si>
    <t xml:space="preserve">Returns: levered IRR discounts cash flows to zero</t>
  </si>
  <si>
    <t xml:space="preserve">NPV of the levered cash flows at their IRR is zero</t>
  </si>
  <si>
    <t xml:space="preserve">Debt service covered (DSCR ≥ 1.0x)</t>
  </si>
  <si>
    <t xml:space="preserve">Business warning: NOI does not cover the loan payments in at least one year</t>
  </si>
  <si>
    <t xml:space="preserve">No error values</t>
  </si>
  <si>
    <t xml:space="preserve">No error values (divide-by-zero, broken references) on any calculation sheet</t>
  </si>
  <si>
    <t xml:space="preserve">Balance sheet balances every period</t>
  </si>
  <si>
    <t xml:space="preserve">Assets = liabilities + equity in every period</t>
  </si>
  <si>
    <t xml:space="preserve">Funding sufficient (cash ≥ 0)</t>
  </si>
  <si>
    <t xml:space="preserve">Business warning, not an error: cash dips below zero in this scenario</t>
  </si>
  <si>
    <t xml:space="preserve">Overall verdict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</si>
</sst>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\$#,##0;&quot;($&quot;#,##0\);\-"/>
    <numFmt numFmtId="166" formatCode="0.0%;\(0.0%\);\-"/>
    <numFmt numFmtId="167" formatCode="#,##0.0;\(#,##0.0\);\-"/>
    <numFmt numFmtId="168" formatCode="0"/>
    <numFmt numFmtId="169" formatCode="@"/>
    <numFmt numFmtId="170" formatCode="\$#,##0.00;&quot;($&quot;#,##0.00\);\-"/>
    <numFmt numFmtId="171" formatCode="0.0\x"/>
    <numFmt numFmtId="172" formatCode="#,##0;\(#,##0\);\-"/>
    <numFmt numFmtId="173" formatCode="0.00\x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C55A1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sz val="9"/>
      <color rgb="FF6B728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6B7280"/>
      <name val="Arial"/>
      <family val="0"/>
      <charset val="1"/>
    </font>
    <font>
      <sz val="9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2F5597"/>
        <bgColor rgb="FF1F3864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9"/>
      </bottom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55A11"/>
      <rgbColor rgb="FF6B7280"/>
      <rgbColor rgb="FF969696"/>
      <rgbColor rgb="FF1F3864"/>
      <rgbColor rgb="FF339966"/>
      <rgbColor rgb="FF003300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4"/>
  </cols>
  <sheetData>
    <row r="1" customFormat="false" ht="24" hidden="false" customHeight="true" outlineLevel="0" collapsed="false">
      <c r="A1" s="1" t="s">
        <v>0</v>
      </c>
      <c r="B1" s="2"/>
      <c r="C1" s="2"/>
      <c r="D1" s="2"/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2</v>
      </c>
      <c r="B4" s="5" t="n">
        <v>2</v>
      </c>
      <c r="C4" s="6" t="str">
        <f aca="false">CHOOSE(B4,"Low","Base","High")</f>
        <v>Base</v>
      </c>
    </row>
    <row r="6" customFormat="false" ht="15" hidden="false" customHeight="false" outlineLevel="0" collapsed="false">
      <c r="A6" s="7" t="s">
        <v>3</v>
      </c>
      <c r="B6" s="8"/>
      <c r="C6" s="8"/>
      <c r="D6" s="8"/>
    </row>
    <row r="7" customFormat="false" ht="15" hidden="false" customHeight="false" outlineLevel="0" collapsed="false">
      <c r="B7" s="9" t="s">
        <v>4</v>
      </c>
      <c r="C7" s="9" t="s">
        <v>5</v>
      </c>
      <c r="D7" s="9" t="s">
        <v>6</v>
      </c>
    </row>
    <row r="8" customFormat="false" ht="15" hidden="false" customHeight="false" outlineLevel="0" collapsed="false">
      <c r="A8" s="4" t="s">
        <v>7</v>
      </c>
      <c r="B8" s="10" t="n">
        <f aca="false">'P&amp;L'!B5</f>
        <v>196650</v>
      </c>
      <c r="C8" s="10" t="n">
        <f aca="false">'P&amp;L'!C5</f>
        <v>202549.5</v>
      </c>
      <c r="D8" s="10" t="n">
        <f aca="false">'P&amp;L'!D5</f>
        <v>208625.985</v>
      </c>
    </row>
    <row r="9" customFormat="false" ht="15" hidden="false" customHeight="false" outlineLevel="0" collapsed="false">
      <c r="A9" s="11" t="s">
        <v>8</v>
      </c>
      <c r="B9" s="10" t="n">
        <f aca="false">'P&amp;L'!B7</f>
        <v>174222</v>
      </c>
      <c r="C9" s="10" t="n">
        <f aca="false">'P&amp;L'!C7</f>
        <v>179448.66</v>
      </c>
      <c r="D9" s="10" t="n">
        <f aca="false">'P&amp;L'!D7</f>
        <v>184832.1198</v>
      </c>
    </row>
    <row r="10" customFormat="false" ht="15" hidden="false" customHeight="false" outlineLevel="0" collapsed="false">
      <c r="A10" s="4" t="s">
        <v>9</v>
      </c>
      <c r="B10" s="10" t="n">
        <f aca="false">'P&amp;L'!B14</f>
        <v>125340</v>
      </c>
      <c r="C10" s="10" t="n">
        <f aca="false">'P&amp;L'!C14</f>
        <v>129100.2</v>
      </c>
      <c r="D10" s="10" t="n">
        <f aca="false">'P&amp;L'!D14</f>
        <v>132973.206</v>
      </c>
    </row>
    <row r="11" customFormat="false" ht="15" hidden="false" customHeight="false" outlineLevel="0" collapsed="false">
      <c r="A11" s="11" t="s">
        <v>10</v>
      </c>
      <c r="B11" s="12" t="n">
        <f aca="false">'P&amp;L'!B15</f>
        <v>0.637376048817696</v>
      </c>
      <c r="C11" s="12" t="n">
        <f aca="false">'P&amp;L'!C15</f>
        <v>0.637376048817697</v>
      </c>
      <c r="D11" s="12" t="n">
        <f aca="false">'P&amp;L'!D15</f>
        <v>0.637376048817697</v>
      </c>
    </row>
    <row r="12" customFormat="false" ht="15" hidden="false" customHeight="false" outlineLevel="0" collapsed="false">
      <c r="A12" s="11" t="s">
        <v>11</v>
      </c>
      <c r="B12" s="10" t="n">
        <f aca="false">'P&amp;L'!B21</f>
        <v>-9205.67617522005</v>
      </c>
      <c r="C12" s="10" t="n">
        <f aca="false">'P&amp;L'!C21</f>
        <v>-4678.93855009125</v>
      </c>
      <c r="D12" s="10" t="n">
        <f aca="false">'P&amp;L'!D21</f>
        <v>16.8120474254474</v>
      </c>
    </row>
    <row r="13" customFormat="false" ht="15" hidden="false" customHeight="false" outlineLevel="0" collapsed="false">
      <c r="A13" s="11" t="s">
        <v>12</v>
      </c>
      <c r="B13" s="10" t="n">
        <f aca="false">'Balance Sheet'!B5</f>
        <v>86256.7046170131</v>
      </c>
      <c r="C13" s="10" t="n">
        <f aca="false">'Balance Sheet'!C5</f>
        <v>120762.144234026</v>
      </c>
      <c r="D13" s="10" t="n">
        <f aca="false">'Balance Sheet'!D5</f>
        <v>159033.28090104</v>
      </c>
    </row>
    <row r="14" customFormat="false" ht="15" hidden="false" customHeight="false" outlineLevel="0" collapsed="false">
      <c r="A14" s="11" t="s">
        <v>13</v>
      </c>
      <c r="B14" s="10" t="n">
        <f aca="false">'Balance Sheet'!B11</f>
        <v>1186587.29437248</v>
      </c>
      <c r="C14" s="10" t="n">
        <f aca="false">'Balance Sheet'!C11</f>
        <v>1172276.31500872</v>
      </c>
      <c r="D14" s="10" t="n">
        <f aca="false">'Balance Sheet'!D11</f>
        <v>1157006.902853</v>
      </c>
    </row>
    <row r="15" customFormat="false" ht="15" hidden="false" customHeight="false" outlineLevel="0" collapsed="false">
      <c r="A15" s="11" t="s">
        <v>14</v>
      </c>
      <c r="B15" s="13" t="n">
        <f aca="false">INDEX(Headcount!$C$6:$AL$6,12)</f>
        <v>0</v>
      </c>
      <c r="C15" s="13" t="n">
        <f aca="false">INDEX(Headcount!$C$6:$AL$6,24)</f>
        <v>0</v>
      </c>
      <c r="D15" s="13" t="n">
        <f aca="false">INDEX(Headcount!$C$6:$AL$6,36)</f>
        <v>0</v>
      </c>
    </row>
    <row r="17" customFormat="false" ht="15" hidden="false" customHeight="false" outlineLevel="0" collapsed="false">
      <c r="A17" s="7" t="s">
        <v>15</v>
      </c>
      <c r="B17" s="8"/>
      <c r="C17" s="8"/>
      <c r="D17" s="8"/>
    </row>
    <row r="18" customFormat="false" ht="15" hidden="false" customHeight="false" outlineLevel="0" collapsed="false">
      <c r="A18" s="11" t="s">
        <v>16</v>
      </c>
      <c r="B18" s="14" t="n">
        <f aca="false">IFERROR(MATCH(1,Monthly!$C$72:$AL$72,0),"Not within horizon")</f>
        <v>1</v>
      </c>
    </row>
    <row r="19" customFormat="false" ht="15" hidden="false" customHeight="false" outlineLevel="0" collapsed="false">
      <c r="A19" s="11" t="s">
        <v>17</v>
      </c>
      <c r="B19" s="15" t="n">
        <f aca="false">MIN(Monthly!$C$71:$AL$71)</f>
        <v>58003.0170514176</v>
      </c>
    </row>
    <row r="20" customFormat="false" ht="15" hidden="false" customHeight="false" outlineLevel="0" collapsed="false">
      <c r="A20" s="11" t="s">
        <v>18</v>
      </c>
      <c r="B20" s="14" t="n">
        <f aca="false">MATCH(B19,Monthly!$C$71:$AL$71,0)</f>
        <v>1</v>
      </c>
    </row>
    <row r="21" customFormat="false" ht="15" hidden="false" customHeight="false" outlineLevel="0" collapsed="false">
      <c r="A21" s="11" t="s">
        <v>19</v>
      </c>
      <c r="B21" s="16" t="str">
        <f aca="false">Checks!B22</f>
        <v>PASS</v>
      </c>
    </row>
    <row r="24" customFormat="false" ht="15" hidden="false" customHeight="false" outlineLevel="0" collapsed="false">
      <c r="A24" s="7" t="s">
        <v>20</v>
      </c>
      <c r="B24" s="8"/>
      <c r="C24" s="8"/>
      <c r="D24" s="8"/>
    </row>
    <row r="25" customFormat="false" ht="15" hidden="false" customHeight="false" outlineLevel="0" collapsed="false">
      <c r="A25" s="17" t="s">
        <v>21</v>
      </c>
      <c r="B25" s="17" t="n">
        <v>1</v>
      </c>
      <c r="C25" s="17" t="n">
        <v>2</v>
      </c>
      <c r="D25" s="17" t="n">
        <v>3</v>
      </c>
    </row>
    <row r="26" customFormat="false" ht="15" hidden="false" customHeight="false" outlineLevel="0" collapsed="false">
      <c r="B26" s="9" t="s">
        <v>4</v>
      </c>
      <c r="C26" s="9" t="s">
        <v>5</v>
      </c>
      <c r="D26" s="9" t="s">
        <v>6</v>
      </c>
    </row>
    <row r="27" customFormat="false" ht="15" hidden="false" customHeight="false" outlineLevel="0" collapsed="false">
      <c r="A27" s="11" t="s">
        <v>22</v>
      </c>
      <c r="B27" s="18" t="n">
        <f aca="false">INDEX(Monthly!$C$8:$AL$8,B$25*12)</f>
        <v>1700</v>
      </c>
      <c r="C27" s="18" t="n">
        <f aca="false">INDEX(Monthly!$C$8:$AL$8,C$25*12)</f>
        <v>1751</v>
      </c>
      <c r="D27" s="18" t="n">
        <f aca="false">INDEX(Monthly!$C$8:$AL$8,D$25*12)</f>
        <v>1803.53</v>
      </c>
    </row>
    <row r="28" customFormat="false" ht="15" hidden="false" customHeight="false" outlineLevel="0" collapsed="false">
      <c r="A28" s="4" t="s">
        <v>23</v>
      </c>
      <c r="B28" s="15" t="n">
        <f aca="false">SUMIF(Monthly!$C$5:$AL$5,B$25,Monthly!$C$9:$AL$9)</f>
        <v>204000</v>
      </c>
      <c r="C28" s="15" t="n">
        <f aca="false">SUMIF(Monthly!$C$5:$AL$5,C$25,Monthly!$C$9:$AL$9)</f>
        <v>210120</v>
      </c>
      <c r="D28" s="15" t="n">
        <f aca="false">SUMIF(Monthly!$C$5:$AL$5,D$25,Monthly!$C$9:$AL$9)</f>
        <v>216423.6</v>
      </c>
    </row>
    <row r="29" customFormat="false" ht="15" hidden="false" customHeight="false" outlineLevel="0" collapsed="false">
      <c r="A29" s="11" t="s">
        <v>24</v>
      </c>
      <c r="B29" s="19" t="n">
        <f aca="false">SUMIF(Monthly!$C$5:$AL$5,B$25,Monthly!$C$10:$AL$10)</f>
        <v>-10200</v>
      </c>
      <c r="C29" s="19" t="n">
        <f aca="false">SUMIF(Monthly!$C$5:$AL$5,C$25,Monthly!$C$10:$AL$10)</f>
        <v>-10506</v>
      </c>
      <c r="D29" s="19" t="n">
        <f aca="false">SUMIF(Monthly!$C$5:$AL$5,D$25,Monthly!$C$10:$AL$10)</f>
        <v>-10821.18</v>
      </c>
    </row>
    <row r="30" customFormat="false" ht="15" hidden="false" customHeight="false" outlineLevel="0" collapsed="false">
      <c r="A30" s="11" t="s">
        <v>25</v>
      </c>
      <c r="B30" s="20" t="n">
        <f aca="false">IF(B28=0,0,(B28+B29)/B28)</f>
        <v>0.95</v>
      </c>
      <c r="C30" s="20" t="n">
        <f aca="false">IF(C28=0,0,(C28+C29)/C28)</f>
        <v>0.95</v>
      </c>
      <c r="D30" s="20" t="n">
        <f aca="false">IF(D28=0,0,(D28+D29)/D28)</f>
        <v>0.95</v>
      </c>
    </row>
    <row r="31" customFormat="false" ht="15" hidden="false" customHeight="false" outlineLevel="0" collapsed="false">
      <c r="A31" s="11" t="s">
        <v>26</v>
      </c>
      <c r="B31" s="19" t="n">
        <f aca="false">SUMIF(Monthly!$C$5:$AL$5,B$25,Monthly!$C$12:$AL$12)</f>
        <v>196650</v>
      </c>
      <c r="C31" s="19" t="n">
        <f aca="false">SUMIF(Monthly!$C$5:$AL$5,C$25,Monthly!$C$12:$AL$12)</f>
        <v>202549.5</v>
      </c>
      <c r="D31" s="19" t="n">
        <f aca="false">SUMIF(Monthly!$C$5:$AL$5,D$25,Monthly!$C$12:$AL$12)</f>
        <v>208625.985</v>
      </c>
    </row>
    <row r="32" customFormat="false" ht="15" hidden="false" customHeight="false" outlineLevel="0" collapsed="false">
      <c r="A32" s="4" t="s">
        <v>27</v>
      </c>
      <c r="B32" s="15" t="n">
        <f aca="false">SUMIF(Monthly!$C$5:$AL$5,B$25,Monthly!$C$26:$AL$26)</f>
        <v>125340</v>
      </c>
      <c r="C32" s="15" t="n">
        <f aca="false">SUMIF(Monthly!$C$5:$AL$5,C$25,Monthly!$C$26:$AL$26)</f>
        <v>129100.2</v>
      </c>
      <c r="D32" s="15" t="n">
        <f aca="false">SUMIF(Monthly!$C$5:$AL$5,D$25,Monthly!$C$26:$AL$26)</f>
        <v>132973.206</v>
      </c>
    </row>
    <row r="33" customFormat="false" ht="15" hidden="false" customHeight="false" outlineLevel="0" collapsed="false">
      <c r="A33" s="11" t="s">
        <v>28</v>
      </c>
      <c r="B33" s="20" t="n">
        <f aca="false">IF(B31=0,0,B32/B31)</f>
        <v>0.637376048817696</v>
      </c>
      <c r="C33" s="20" t="n">
        <f aca="false">IF(C31=0,0,C32/C31)</f>
        <v>0.637376048817697</v>
      </c>
      <c r="D33" s="20" t="n">
        <f aca="false">IF(D31=0,0,D32/D31)</f>
        <v>0.637376048817697</v>
      </c>
    </row>
    <row r="34" customFormat="false" ht="15" hidden="false" customHeight="false" outlineLevel="0" collapsed="false">
      <c r="A34" s="11" t="s">
        <v>29</v>
      </c>
      <c r="B34" s="20" t="n">
        <f aca="false">IF(B31=0,0,1-B32/B31)</f>
        <v>0.362623951182304</v>
      </c>
      <c r="C34" s="20" t="n">
        <f aca="false">IF(C31=0,0,1-C32/C31)</f>
        <v>0.362623951182304</v>
      </c>
      <c r="D34" s="20" t="n">
        <f aca="false">IF(D31=0,0,1-D32/D31)</f>
        <v>0.362623951182304</v>
      </c>
    </row>
    <row r="35" customFormat="false" ht="15" hidden="false" customHeight="false" outlineLevel="0" collapsed="false">
      <c r="A35" s="11" t="s">
        <v>30</v>
      </c>
      <c r="B35" s="19" t="n">
        <f aca="false">IF(Inputs!$E$10=0,0,B32/Inputs!$E$10)</f>
        <v>12534</v>
      </c>
      <c r="C35" s="19" t="n">
        <f aca="false">IF(Inputs!$E$10=0,0,C32/Inputs!$E$10)</f>
        <v>12910.02</v>
      </c>
      <c r="D35" s="19" t="n">
        <f aca="false">IF(Inputs!$E$10=0,0,D32/Inputs!$E$10)</f>
        <v>13297.3206</v>
      </c>
    </row>
    <row r="36" customFormat="false" ht="15" hidden="false" customHeight="false" outlineLevel="0" collapsed="false">
      <c r="A36" s="11" t="s">
        <v>31</v>
      </c>
      <c r="B36" s="20" t="n">
        <f aca="false">IF(Inputs!$E$7=0,0,B32/Inputs!$E$7)</f>
        <v>0.0677513513513514</v>
      </c>
      <c r="C36" s="20" t="n">
        <f aca="false">IF(Inputs!$E$7=0,0,C32/Inputs!$E$7)</f>
        <v>0.0697838918918919</v>
      </c>
      <c r="D36" s="20" t="n">
        <f aca="false">IF(Inputs!$E$7=0,0,D32/Inputs!$E$7)</f>
        <v>0.0718774086486487</v>
      </c>
    </row>
    <row r="37" customFormat="false" ht="15" hidden="false" customHeight="false" outlineLevel="0" collapsed="false">
      <c r="A37" s="11" t="s">
        <v>32</v>
      </c>
      <c r="B37" s="19" t="n">
        <f aca="false">-SUMIF(Monthly!$C$5:$AL$5,B$25,Monthly!$C$53:$AL$53)</f>
        <v>91017.7953829868</v>
      </c>
      <c r="C37" s="19" t="n">
        <f aca="false">-SUMIF(Monthly!$C$5:$AL$5,C$25,Monthly!$C$53:$AL$53)</f>
        <v>91017.7953829868</v>
      </c>
      <c r="D37" s="19" t="n">
        <f aca="false">-SUMIF(Monthly!$C$5:$AL$5,D$25,Monthly!$C$53:$AL$53)</f>
        <v>91017.7953829868</v>
      </c>
    </row>
    <row r="38" customFormat="false" ht="15" hidden="false" customHeight="false" outlineLevel="0" collapsed="false">
      <c r="A38" s="11" t="s">
        <v>33</v>
      </c>
      <c r="B38" s="21" t="n">
        <f aca="false">IF(B37&gt;0.5,B32/B37,"n/a")</f>
        <v>1.37709334172061</v>
      </c>
      <c r="C38" s="21" t="n">
        <f aca="false">IF(C37&gt;0.5,C32/C37,"n/a")</f>
        <v>1.41840614197223</v>
      </c>
      <c r="D38" s="21" t="n">
        <f aca="false">IF(D37&gt;0.5,D32/D37,"n/a")</f>
        <v>1.4609583262314</v>
      </c>
    </row>
    <row r="39" customFormat="false" ht="15" hidden="false" customHeight="false" outlineLevel="0" collapsed="false">
      <c r="A39" s="11" t="s">
        <v>34</v>
      </c>
      <c r="B39" s="19" t="n">
        <f aca="false">INDEX(Monthly!$C$54:$AL$54,B$25*12)</f>
        <v>1186587.29437248</v>
      </c>
      <c r="C39" s="19" t="n">
        <f aca="false">INDEX(Monthly!$C$54:$AL$54,C$25*12)</f>
        <v>1172276.31500872</v>
      </c>
      <c r="D39" s="19" t="n">
        <f aca="false">INDEX(Monthly!$C$54:$AL$54,D$25*12)</f>
        <v>1157006.902853</v>
      </c>
    </row>
    <row r="40" customFormat="false" ht="15" hidden="false" customHeight="false" outlineLevel="0" collapsed="false">
      <c r="A40" s="11" t="s">
        <v>35</v>
      </c>
      <c r="B40" s="20" t="n">
        <f aca="false">IF(Inputs!$E$7=0,0,B39/Inputs!$E$7)</f>
        <v>0.641398537498638</v>
      </c>
      <c r="C40" s="20" t="n">
        <f aca="false">IF(Inputs!$E$7=0,0,C39/Inputs!$E$7)</f>
        <v>0.633662872977687</v>
      </c>
      <c r="D40" s="20" t="n">
        <f aca="false">IF(Inputs!$E$7=0,0,D39/Inputs!$E$7)</f>
        <v>0.625409136677297</v>
      </c>
    </row>
  </sheetData>
  <dataValidations count="1">
    <dataValidation allowBlank="false" error="Enter 1, 2 or 3" errorStyle="stop" errorTitle="Scenario" operator="between" prompt="1 = Low, 2 = Base, 3 = High. Every sheet recalculates." promptTitle="Scenario" showDropDown="false" showErrorMessage="true" showInputMessage="true" sqref="B4" type="list">
      <formula1>"1,2,3"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2"/>
    <col collapsed="false" customWidth="true" hidden="false" outlineLevel="0" max="7" min="7" style="0" width="30"/>
  </cols>
  <sheetData>
    <row r="1" customFormat="false" ht="24" hidden="false" customHeight="true" outlineLevel="0" collapsed="false">
      <c r="A1" s="1" t="s">
        <v>36</v>
      </c>
      <c r="B1" s="2"/>
      <c r="C1" s="2"/>
      <c r="D1" s="2"/>
      <c r="E1" s="2"/>
      <c r="F1" s="2"/>
      <c r="G1" s="2"/>
    </row>
    <row r="2" customFormat="false" ht="15" hidden="false" customHeight="false" outlineLevel="0" collapsed="false">
      <c r="A2" s="3" t="s">
        <v>37</v>
      </c>
    </row>
    <row r="5" customFormat="false" ht="15" hidden="false" customHeight="false" outlineLevel="0" collapsed="false">
      <c r="A5" s="22" t="s">
        <v>38</v>
      </c>
      <c r="B5" s="9" t="s">
        <v>39</v>
      </c>
      <c r="C5" s="9" t="s">
        <v>40</v>
      </c>
      <c r="D5" s="9" t="s">
        <v>41</v>
      </c>
      <c r="E5" s="9" t="s">
        <v>42</v>
      </c>
      <c r="F5" s="22" t="s">
        <v>43</v>
      </c>
      <c r="G5" s="22" t="s">
        <v>44</v>
      </c>
    </row>
    <row r="6" customFormat="false" ht="15" hidden="false" customHeight="false" outlineLevel="0" collapsed="false">
      <c r="A6" s="7" t="s">
        <v>45</v>
      </c>
      <c r="B6" s="8"/>
      <c r="C6" s="8"/>
      <c r="D6" s="8"/>
      <c r="E6" s="8"/>
      <c r="F6" s="8"/>
      <c r="G6" s="8"/>
    </row>
    <row r="7" customFormat="false" ht="15" hidden="false" customHeight="false" outlineLevel="0" collapsed="false">
      <c r="A7" s="11" t="s">
        <v>46</v>
      </c>
      <c r="B7" s="23" t="n">
        <v>1850000</v>
      </c>
      <c r="C7" s="23" t="n">
        <v>1850000</v>
      </c>
      <c r="D7" s="23" t="n">
        <v>1850000</v>
      </c>
      <c r="E7" s="15" t="n">
        <f aca="false">CHOOSE(Dashboard!$B$4,B7,C7,D7)</f>
        <v>1850000</v>
      </c>
      <c r="F7" s="24" t="s">
        <v>47</v>
      </c>
      <c r="G7" s="17"/>
    </row>
    <row r="8" customFormat="false" ht="15" hidden="false" customHeight="false" outlineLevel="0" collapsed="false">
      <c r="A8" s="11" t="s">
        <v>48</v>
      </c>
      <c r="B8" s="25" t="n">
        <v>0.2</v>
      </c>
      <c r="C8" s="25" t="n">
        <v>0.2</v>
      </c>
      <c r="D8" s="25" t="n">
        <v>0.2</v>
      </c>
      <c r="E8" s="26" t="n">
        <f aca="false">CHOOSE(Dashboard!$B$4,B8,C8,D8)</f>
        <v>0.2</v>
      </c>
      <c r="F8" s="24" t="s">
        <v>49</v>
      </c>
      <c r="G8" s="17"/>
    </row>
    <row r="9" customFormat="false" ht="15" hidden="false" customHeight="false" outlineLevel="0" collapsed="false">
      <c r="A9" s="11" t="s">
        <v>50</v>
      </c>
      <c r="B9" s="25" t="n">
        <v>0.03</v>
      </c>
      <c r="C9" s="25" t="n">
        <v>0.03</v>
      </c>
      <c r="D9" s="25" t="n">
        <v>0.03</v>
      </c>
      <c r="E9" s="26" t="n">
        <f aca="false">CHOOSE(Dashboard!$B$4,B9,C9,D9)</f>
        <v>0.03</v>
      </c>
      <c r="F9" s="24" t="s">
        <v>49</v>
      </c>
      <c r="G9" s="17" t="s">
        <v>51</v>
      </c>
    </row>
    <row r="10" customFormat="false" ht="15" hidden="false" customHeight="false" outlineLevel="0" collapsed="false">
      <c r="A10" s="11" t="s">
        <v>52</v>
      </c>
      <c r="B10" s="27" t="n">
        <v>10</v>
      </c>
      <c r="C10" s="27" t="n">
        <v>10</v>
      </c>
      <c r="D10" s="27" t="n">
        <v>10</v>
      </c>
      <c r="E10" s="28" t="n">
        <f aca="false">CHOOSE(Dashboard!$B$4,B10,C10,D10)</f>
        <v>10</v>
      </c>
      <c r="F10" s="24" t="s">
        <v>53</v>
      </c>
      <c r="G10" s="17"/>
    </row>
    <row r="12" customFormat="false" ht="15" hidden="false" customHeight="false" outlineLevel="0" collapsed="false">
      <c r="A12" s="7" t="s">
        <v>54</v>
      </c>
      <c r="B12" s="8"/>
      <c r="C12" s="8"/>
      <c r="D12" s="8"/>
      <c r="E12" s="8"/>
      <c r="F12" s="8"/>
      <c r="G12" s="8"/>
    </row>
    <row r="13" customFormat="false" ht="15" hidden="false" customHeight="false" outlineLevel="0" collapsed="false">
      <c r="A13" s="11" t="s">
        <v>55</v>
      </c>
      <c r="B13" s="29" t="n">
        <v>1600</v>
      </c>
      <c r="C13" s="29" t="n">
        <v>1700</v>
      </c>
      <c r="D13" s="29" t="n">
        <v>1800</v>
      </c>
      <c r="E13" s="30" t="n">
        <f aca="false">CHOOSE(Dashboard!$B$4,B13,C13,D13)</f>
        <v>1700</v>
      </c>
      <c r="F13" s="24" t="s">
        <v>47</v>
      </c>
      <c r="G13" s="17" t="s">
        <v>56</v>
      </c>
    </row>
    <row r="14" customFormat="false" ht="15" hidden="false" customHeight="false" outlineLevel="0" collapsed="false">
      <c r="A14" s="11" t="s">
        <v>57</v>
      </c>
      <c r="B14" s="25" t="n">
        <v>0.02</v>
      </c>
      <c r="C14" s="25" t="n">
        <v>0.03</v>
      </c>
      <c r="D14" s="25" t="n">
        <v>0.04</v>
      </c>
      <c r="E14" s="26" t="n">
        <f aca="false">CHOOSE(Dashboard!$B$4,B14,C14,D14)</f>
        <v>0.03</v>
      </c>
      <c r="F14" s="24" t="s">
        <v>49</v>
      </c>
      <c r="G14" s="17" t="s">
        <v>56</v>
      </c>
    </row>
    <row r="15" customFormat="false" ht="15" hidden="false" customHeight="false" outlineLevel="0" collapsed="false">
      <c r="A15" s="11" t="s">
        <v>58</v>
      </c>
      <c r="B15" s="25" t="n">
        <v>0.08</v>
      </c>
      <c r="C15" s="25" t="n">
        <v>0.05</v>
      </c>
      <c r="D15" s="25" t="n">
        <v>0.04</v>
      </c>
      <c r="E15" s="26" t="n">
        <f aca="false">CHOOSE(Dashboard!$B$4,B15,C15,D15)</f>
        <v>0.05</v>
      </c>
      <c r="F15" s="24" t="s">
        <v>49</v>
      </c>
      <c r="G15" s="17" t="s">
        <v>51</v>
      </c>
    </row>
    <row r="16" customFormat="false" ht="15" hidden="false" customHeight="false" outlineLevel="0" collapsed="false">
      <c r="A16" s="11" t="s">
        <v>59</v>
      </c>
      <c r="B16" s="29" t="n">
        <v>20</v>
      </c>
      <c r="C16" s="29" t="n">
        <v>25</v>
      </c>
      <c r="D16" s="29" t="n">
        <v>30</v>
      </c>
      <c r="E16" s="30" t="n">
        <f aca="false">CHOOSE(Dashboard!$B$4,B16,C16,D16)</f>
        <v>25</v>
      </c>
      <c r="F16" s="24" t="s">
        <v>47</v>
      </c>
      <c r="G16" s="17" t="s">
        <v>56</v>
      </c>
    </row>
    <row r="18" customFormat="false" ht="15" hidden="false" customHeight="false" outlineLevel="0" collapsed="false">
      <c r="A18" s="7" t="s">
        <v>60</v>
      </c>
      <c r="B18" s="8"/>
      <c r="C18" s="8"/>
      <c r="D18" s="8"/>
      <c r="E18" s="8"/>
      <c r="F18" s="8"/>
      <c r="G18" s="8"/>
    </row>
    <row r="19" customFormat="false" ht="15" hidden="false" customHeight="false" outlineLevel="0" collapsed="false">
      <c r="A19" s="11" t="s">
        <v>61</v>
      </c>
      <c r="B19" s="25" t="n">
        <v>0.07</v>
      </c>
      <c r="C19" s="25" t="n">
        <v>0.06</v>
      </c>
      <c r="D19" s="25" t="n">
        <v>0.05</v>
      </c>
      <c r="E19" s="26" t="n">
        <f aca="false">CHOOSE(Dashboard!$B$4,B19,C19,D19)</f>
        <v>0.06</v>
      </c>
      <c r="F19" s="24" t="s">
        <v>49</v>
      </c>
      <c r="G19" s="17" t="s">
        <v>51</v>
      </c>
    </row>
    <row r="20" customFormat="false" ht="15" hidden="false" customHeight="false" outlineLevel="0" collapsed="false">
      <c r="A20" s="11" t="s">
        <v>62</v>
      </c>
      <c r="B20" s="23" t="n">
        <v>900</v>
      </c>
      <c r="C20" s="23" t="n">
        <v>900</v>
      </c>
      <c r="D20" s="23" t="n">
        <v>900</v>
      </c>
      <c r="E20" s="15" t="n">
        <f aca="false">CHOOSE(Dashboard!$B$4,B20,C20,D20)</f>
        <v>900</v>
      </c>
      <c r="F20" s="24" t="s">
        <v>47</v>
      </c>
      <c r="G20" s="17"/>
    </row>
    <row r="21" customFormat="false" ht="15" hidden="false" customHeight="false" outlineLevel="0" collapsed="false">
      <c r="A21" s="11" t="s">
        <v>63</v>
      </c>
      <c r="B21" s="25" t="n">
        <v>0.011</v>
      </c>
      <c r="C21" s="25" t="n">
        <v>0.011</v>
      </c>
      <c r="D21" s="25" t="n">
        <v>0.011</v>
      </c>
      <c r="E21" s="26" t="n">
        <f aca="false">CHOOSE(Dashboard!$B$4,B21,C21,D21)</f>
        <v>0.011</v>
      </c>
      <c r="F21" s="24" t="s">
        <v>49</v>
      </c>
      <c r="G21" s="17"/>
    </row>
    <row r="22" customFormat="false" ht="15" hidden="false" customHeight="false" outlineLevel="0" collapsed="false">
      <c r="A22" s="11" t="s">
        <v>64</v>
      </c>
      <c r="B22" s="23" t="n">
        <v>800</v>
      </c>
      <c r="C22" s="23" t="n">
        <v>800</v>
      </c>
      <c r="D22" s="23" t="n">
        <v>800</v>
      </c>
      <c r="E22" s="15" t="n">
        <f aca="false">CHOOSE(Dashboard!$B$4,B22,C22,D22)</f>
        <v>800</v>
      </c>
      <c r="F22" s="24" t="s">
        <v>47</v>
      </c>
      <c r="G22" s="17"/>
    </row>
    <row r="23" customFormat="false" ht="15" hidden="false" customHeight="false" outlineLevel="0" collapsed="false">
      <c r="A23" s="11" t="s">
        <v>65</v>
      </c>
      <c r="B23" s="25" t="n">
        <v>0.08</v>
      </c>
      <c r="C23" s="25" t="n">
        <v>0.08</v>
      </c>
      <c r="D23" s="25" t="n">
        <v>0.08</v>
      </c>
      <c r="E23" s="26" t="n">
        <f aca="false">CHOOSE(Dashboard!$B$4,B23,C23,D23)</f>
        <v>0.08</v>
      </c>
      <c r="F23" s="24" t="s">
        <v>49</v>
      </c>
      <c r="G23" s="17" t="s">
        <v>51</v>
      </c>
    </row>
    <row r="24" customFormat="false" ht="15" hidden="false" customHeight="false" outlineLevel="0" collapsed="false">
      <c r="A24" s="11" t="s">
        <v>66</v>
      </c>
      <c r="B24" s="23" t="n">
        <v>400</v>
      </c>
      <c r="C24" s="23" t="n">
        <v>400</v>
      </c>
      <c r="D24" s="23" t="n">
        <v>400</v>
      </c>
      <c r="E24" s="15" t="n">
        <f aca="false">CHOOSE(Dashboard!$B$4,B24,C24,D24)</f>
        <v>400</v>
      </c>
      <c r="F24" s="24" t="s">
        <v>47</v>
      </c>
      <c r="G24" s="17"/>
    </row>
    <row r="25" customFormat="false" ht="15" hidden="false" customHeight="false" outlineLevel="0" collapsed="false">
      <c r="A25" s="11" t="s">
        <v>67</v>
      </c>
      <c r="B25" s="25" t="n">
        <v>0.04</v>
      </c>
      <c r="C25" s="25" t="n">
        <v>0.03</v>
      </c>
      <c r="D25" s="25" t="n">
        <v>0.025</v>
      </c>
      <c r="E25" s="26" t="n">
        <f aca="false">CHOOSE(Dashboard!$B$4,B25,C25,D25)</f>
        <v>0.03</v>
      </c>
      <c r="F25" s="24" t="s">
        <v>49</v>
      </c>
      <c r="G25" s="17" t="s">
        <v>51</v>
      </c>
    </row>
    <row r="26" customFormat="false" ht="15" hidden="false" customHeight="false" outlineLevel="0" collapsed="false">
      <c r="A26" s="11" t="s">
        <v>68</v>
      </c>
      <c r="B26" s="23" t="n">
        <v>350</v>
      </c>
      <c r="C26" s="23" t="n">
        <v>350</v>
      </c>
      <c r="D26" s="23" t="n">
        <v>350</v>
      </c>
      <c r="E26" s="15" t="n">
        <f aca="false">CHOOSE(Dashboard!$B$4,B26,C26,D26)</f>
        <v>350</v>
      </c>
      <c r="F26" s="24" t="s">
        <v>47</v>
      </c>
      <c r="G26" s="17"/>
    </row>
    <row r="28" customFormat="false" ht="15" hidden="false" customHeight="false" outlineLevel="0" collapsed="false">
      <c r="A28" s="7" t="s">
        <v>69</v>
      </c>
      <c r="B28" s="8"/>
      <c r="C28" s="8"/>
      <c r="D28" s="8"/>
      <c r="E28" s="8"/>
      <c r="F28" s="8"/>
      <c r="G28" s="8"/>
    </row>
    <row r="29" customFormat="false" ht="15" hidden="false" customHeight="false" outlineLevel="0" collapsed="false">
      <c r="A29" s="11" t="s">
        <v>70</v>
      </c>
      <c r="B29" s="25" t="n">
        <v>0.0725</v>
      </c>
      <c r="C29" s="25" t="n">
        <v>0.0675</v>
      </c>
      <c r="D29" s="25" t="n">
        <v>0.0625</v>
      </c>
      <c r="E29" s="26" t="n">
        <f aca="false">CHOOSE(Dashboard!$B$4,B29,C29,D29)</f>
        <v>0.0675</v>
      </c>
      <c r="F29" s="24" t="s">
        <v>49</v>
      </c>
      <c r="G29" s="17" t="s">
        <v>51</v>
      </c>
    </row>
    <row r="30" customFormat="false" ht="15" hidden="false" customHeight="false" outlineLevel="0" collapsed="false">
      <c r="A30" s="11" t="s">
        <v>71</v>
      </c>
      <c r="B30" s="25" t="n">
        <v>0.06</v>
      </c>
      <c r="C30" s="25" t="n">
        <v>0.05</v>
      </c>
      <c r="D30" s="25" t="n">
        <v>0.05</v>
      </c>
      <c r="E30" s="26" t="n">
        <f aca="false">CHOOSE(Dashboard!$B$4,B30,C30,D30)</f>
        <v>0.05</v>
      </c>
      <c r="F30" s="24" t="s">
        <v>49</v>
      </c>
      <c r="G30" s="17" t="s">
        <v>51</v>
      </c>
    </row>
    <row r="31" customFormat="false" ht="15" hidden="false" customHeight="false" outlineLevel="0" collapsed="false">
      <c r="A31" s="11" t="s">
        <v>72</v>
      </c>
      <c r="B31" s="25" t="n">
        <v>0.1</v>
      </c>
      <c r="C31" s="25" t="n">
        <v>0.1</v>
      </c>
      <c r="D31" s="25" t="n">
        <v>0.1</v>
      </c>
      <c r="E31" s="26" t="n">
        <f aca="false">CHOOSE(Dashboard!$B$4,B31,C31,D31)</f>
        <v>0.1</v>
      </c>
      <c r="F31" s="24" t="s">
        <v>49</v>
      </c>
      <c r="G31" s="17"/>
    </row>
    <row r="33" customFormat="false" ht="15" hidden="false" customHeight="false" outlineLevel="0" collapsed="false">
      <c r="A33" s="7" t="s">
        <v>73</v>
      </c>
      <c r="B33" s="8"/>
      <c r="C33" s="8"/>
      <c r="D33" s="8"/>
      <c r="E33" s="8"/>
      <c r="F33" s="8"/>
      <c r="G33" s="8"/>
    </row>
    <row r="34" customFormat="false" ht="15" hidden="false" customHeight="false" outlineLevel="0" collapsed="false">
      <c r="A34" s="11" t="s">
        <v>74</v>
      </c>
      <c r="B34" s="23" t="n">
        <v>760000</v>
      </c>
      <c r="C34" s="23" t="n">
        <v>760000</v>
      </c>
      <c r="D34" s="23" t="n">
        <v>760000</v>
      </c>
      <c r="E34" s="15" t="n">
        <f aca="false">CHOOSE(Dashboard!$B$4,B34,C34,D34)</f>
        <v>760000</v>
      </c>
      <c r="F34" s="24" t="s">
        <v>47</v>
      </c>
      <c r="G34" s="17"/>
    </row>
    <row r="35" customFormat="false" ht="15" hidden="false" customHeight="false" outlineLevel="0" collapsed="false">
      <c r="A35" s="11" t="s">
        <v>75</v>
      </c>
      <c r="B35" s="23" t="n">
        <v>1200000</v>
      </c>
      <c r="C35" s="23" t="n">
        <v>1200000</v>
      </c>
      <c r="D35" s="23" t="n">
        <v>1200000</v>
      </c>
      <c r="E35" s="15" t="n">
        <f aca="false">CHOOSE(Dashboard!$B$4,B35,C35,D35)</f>
        <v>1200000</v>
      </c>
      <c r="F35" s="24" t="s">
        <v>47</v>
      </c>
      <c r="G35" s="17"/>
    </row>
    <row r="36" customFormat="false" ht="15" hidden="false" customHeight="false" outlineLevel="0" collapsed="false">
      <c r="A36" s="11" t="s">
        <v>76</v>
      </c>
      <c r="B36" s="25" t="n">
        <v>0.065</v>
      </c>
      <c r="C36" s="25" t="n">
        <v>0.065</v>
      </c>
      <c r="D36" s="25" t="n">
        <v>0.065</v>
      </c>
      <c r="E36" s="26" t="n">
        <f aca="false">CHOOSE(Dashboard!$B$4,B36,C36,D36)</f>
        <v>0.065</v>
      </c>
      <c r="F36" s="24" t="s">
        <v>49</v>
      </c>
      <c r="G36" s="17"/>
    </row>
    <row r="37" customFormat="false" ht="15" hidden="false" customHeight="false" outlineLevel="0" collapsed="false">
      <c r="A37" s="11" t="s">
        <v>77</v>
      </c>
      <c r="B37" s="27" t="n">
        <v>30</v>
      </c>
      <c r="C37" s="27" t="n">
        <v>30</v>
      </c>
      <c r="D37" s="27" t="n">
        <v>30</v>
      </c>
      <c r="E37" s="28" t="n">
        <f aca="false">CHOOSE(Dashboard!$B$4,B37,C37,D37)</f>
        <v>30</v>
      </c>
      <c r="F37" s="24" t="s">
        <v>78</v>
      </c>
      <c r="G37" s="17"/>
    </row>
    <row r="39" customFormat="false" ht="15" hidden="false" customHeight="false" outlineLevel="0" collapsed="false">
      <c r="A39" s="7" t="s">
        <v>79</v>
      </c>
      <c r="B39" s="8"/>
      <c r="C39" s="8"/>
      <c r="D39" s="8"/>
      <c r="E39" s="8"/>
      <c r="F39" s="8"/>
      <c r="G39" s="8"/>
    </row>
    <row r="40" customFormat="false" ht="15" hidden="false" customHeight="false" outlineLevel="0" collapsed="false">
      <c r="A40" s="11" t="s">
        <v>80</v>
      </c>
      <c r="B40" s="27" t="n">
        <v>0</v>
      </c>
      <c r="C40" s="27" t="n">
        <v>0</v>
      </c>
      <c r="D40" s="27" t="n">
        <v>0</v>
      </c>
      <c r="E40" s="28" t="n">
        <f aca="false">CHOOSE(Dashboard!$B$4,B40,C40,D40)</f>
        <v>0</v>
      </c>
      <c r="F40" s="24" t="s">
        <v>81</v>
      </c>
      <c r="G40" s="17"/>
    </row>
    <row r="41" customFormat="false" ht="15" hidden="false" customHeight="false" outlineLevel="0" collapsed="false">
      <c r="A41" s="11" t="s">
        <v>82</v>
      </c>
      <c r="B41" s="27" t="n">
        <v>0</v>
      </c>
      <c r="C41" s="27" t="n">
        <v>0</v>
      </c>
      <c r="D41" s="27" t="n">
        <v>0</v>
      </c>
      <c r="E41" s="28" t="n">
        <f aca="false">CHOOSE(Dashboard!$B$4,B41,C41,D41)</f>
        <v>0</v>
      </c>
      <c r="F41" s="24" t="s">
        <v>81</v>
      </c>
      <c r="G41" s="17"/>
    </row>
    <row r="42" customFormat="false" ht="15" hidden="false" customHeight="false" outlineLevel="0" collapsed="false">
      <c r="A42" s="11" t="s">
        <v>83</v>
      </c>
      <c r="B42" s="27" t="n">
        <v>15</v>
      </c>
      <c r="C42" s="27" t="n">
        <v>15</v>
      </c>
      <c r="D42" s="27" t="n">
        <v>15</v>
      </c>
      <c r="E42" s="28" t="n">
        <f aca="false">CHOOSE(Dashboard!$B$4,B42,C42,D42)</f>
        <v>15</v>
      </c>
      <c r="F42" s="24" t="s">
        <v>81</v>
      </c>
      <c r="G42" s="17"/>
    </row>
    <row r="44" customFormat="false" ht="15" hidden="false" customHeight="false" outlineLevel="0" collapsed="false">
      <c r="A44" s="7" t="s">
        <v>84</v>
      </c>
      <c r="B44" s="8"/>
      <c r="C44" s="8"/>
      <c r="D44" s="8"/>
      <c r="E44" s="8"/>
      <c r="F44" s="8"/>
      <c r="G44" s="8"/>
    </row>
    <row r="45" customFormat="false" ht="15" hidden="false" customHeight="false" outlineLevel="0" collapsed="false">
      <c r="A45" s="11" t="s">
        <v>85</v>
      </c>
      <c r="B45" s="27" t="n">
        <v>27</v>
      </c>
      <c r="C45" s="27" t="n">
        <v>27</v>
      </c>
      <c r="D45" s="27" t="n">
        <v>27</v>
      </c>
      <c r="E45" s="28" t="n">
        <f aca="false">CHOOSE(Dashboard!$B$4,B45,C45,D45)</f>
        <v>27</v>
      </c>
      <c r="F45" s="24" t="s">
        <v>78</v>
      </c>
      <c r="G45" s="17"/>
    </row>
    <row r="46" customFormat="false" ht="15" hidden="false" customHeight="false" outlineLevel="0" collapsed="false">
      <c r="A46" s="11" t="s">
        <v>86</v>
      </c>
      <c r="B46" s="25" t="n">
        <v>0.21</v>
      </c>
      <c r="C46" s="25" t="n">
        <v>0.21</v>
      </c>
      <c r="D46" s="25" t="n">
        <v>0.21</v>
      </c>
      <c r="E46" s="26" t="n">
        <f aca="false">CHOOSE(Dashboard!$B$4,B46,C46,D46)</f>
        <v>0.21</v>
      </c>
      <c r="F46" s="24" t="s">
        <v>49</v>
      </c>
      <c r="G46" s="17"/>
    </row>
    <row r="48" customFormat="false" ht="15" hidden="false" customHeight="false" outlineLevel="0" collapsed="false">
      <c r="A48" s="3" t="s">
        <v>87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8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"/>
    <col collapsed="false" customWidth="true" hidden="false" outlineLevel="0" max="38" min="3" style="0" width="11"/>
  </cols>
  <sheetData>
    <row r="1" customFormat="false" ht="24" hidden="false" customHeight="true" outlineLevel="0" collapsed="false">
      <c r="A1" s="1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5" hidden="false" customHeight="false" outlineLevel="0" collapsed="false">
      <c r="A2" s="3" t="s">
        <v>89</v>
      </c>
    </row>
    <row r="3" customFormat="false" ht="15" hidden="false" customHeight="false" outlineLevel="0" collapsed="false">
      <c r="A3" s="4" t="s">
        <v>90</v>
      </c>
      <c r="C3" s="9" t="s">
        <v>91</v>
      </c>
      <c r="D3" s="9" t="s">
        <v>92</v>
      </c>
      <c r="E3" s="9" t="s">
        <v>93</v>
      </c>
      <c r="F3" s="9" t="s">
        <v>94</v>
      </c>
      <c r="G3" s="9" t="s">
        <v>95</v>
      </c>
      <c r="H3" s="9" t="s">
        <v>96</v>
      </c>
      <c r="I3" s="9" t="s">
        <v>97</v>
      </c>
      <c r="J3" s="9" t="s">
        <v>98</v>
      </c>
      <c r="K3" s="9" t="s">
        <v>99</v>
      </c>
      <c r="L3" s="9" t="s">
        <v>100</v>
      </c>
      <c r="M3" s="9" t="s">
        <v>101</v>
      </c>
      <c r="N3" s="9" t="s">
        <v>102</v>
      </c>
      <c r="O3" s="9" t="s">
        <v>103</v>
      </c>
      <c r="P3" s="9" t="s">
        <v>104</v>
      </c>
      <c r="Q3" s="9" t="s">
        <v>105</v>
      </c>
      <c r="R3" s="9" t="s">
        <v>106</v>
      </c>
      <c r="S3" s="9" t="s">
        <v>107</v>
      </c>
      <c r="T3" s="9" t="s">
        <v>108</v>
      </c>
      <c r="U3" s="9" t="s">
        <v>109</v>
      </c>
      <c r="V3" s="9" t="s">
        <v>110</v>
      </c>
      <c r="W3" s="9" t="s">
        <v>111</v>
      </c>
      <c r="X3" s="9" t="s">
        <v>112</v>
      </c>
      <c r="Y3" s="9" t="s">
        <v>113</v>
      </c>
      <c r="Z3" s="9" t="s">
        <v>114</v>
      </c>
      <c r="AA3" s="9" t="s">
        <v>115</v>
      </c>
      <c r="AB3" s="9" t="s">
        <v>116</v>
      </c>
      <c r="AC3" s="9" t="s">
        <v>117</v>
      </c>
      <c r="AD3" s="9" t="s">
        <v>118</v>
      </c>
      <c r="AE3" s="9" t="s">
        <v>119</v>
      </c>
      <c r="AF3" s="9" t="s">
        <v>120</v>
      </c>
      <c r="AG3" s="9" t="s">
        <v>121</v>
      </c>
      <c r="AH3" s="9" t="s">
        <v>122</v>
      </c>
      <c r="AI3" s="9" t="s">
        <v>123</v>
      </c>
      <c r="AJ3" s="9" t="s">
        <v>124</v>
      </c>
      <c r="AK3" s="9" t="s">
        <v>125</v>
      </c>
      <c r="AL3" s="9" t="s">
        <v>126</v>
      </c>
    </row>
    <row r="4" customFormat="false" ht="15" hidden="false" customHeight="false" outlineLevel="0" collapsed="false">
      <c r="A4" s="17" t="s">
        <v>127</v>
      </c>
      <c r="C4" s="31" t="n">
        <v>1</v>
      </c>
      <c r="D4" s="31" t="n">
        <v>2</v>
      </c>
      <c r="E4" s="31" t="n">
        <v>3</v>
      </c>
      <c r="F4" s="31" t="n">
        <v>4</v>
      </c>
      <c r="G4" s="31" t="n">
        <v>5</v>
      </c>
      <c r="H4" s="31" t="n">
        <v>6</v>
      </c>
      <c r="I4" s="31" t="n">
        <v>7</v>
      </c>
      <c r="J4" s="31" t="n">
        <v>8</v>
      </c>
      <c r="K4" s="31" t="n">
        <v>9</v>
      </c>
      <c r="L4" s="31" t="n">
        <v>10</v>
      </c>
      <c r="M4" s="31" t="n">
        <v>11</v>
      </c>
      <c r="N4" s="31" t="n">
        <v>12</v>
      </c>
      <c r="O4" s="31" t="n">
        <v>13</v>
      </c>
      <c r="P4" s="31" t="n">
        <v>14</v>
      </c>
      <c r="Q4" s="31" t="n">
        <v>15</v>
      </c>
      <c r="R4" s="31" t="n">
        <v>16</v>
      </c>
      <c r="S4" s="31" t="n">
        <v>17</v>
      </c>
      <c r="T4" s="31" t="n">
        <v>18</v>
      </c>
      <c r="U4" s="31" t="n">
        <v>19</v>
      </c>
      <c r="V4" s="31" t="n">
        <v>20</v>
      </c>
      <c r="W4" s="31" t="n">
        <v>21</v>
      </c>
      <c r="X4" s="31" t="n">
        <v>22</v>
      </c>
      <c r="Y4" s="31" t="n">
        <v>23</v>
      </c>
      <c r="Z4" s="31" t="n">
        <v>24</v>
      </c>
      <c r="AA4" s="31" t="n">
        <v>25</v>
      </c>
      <c r="AB4" s="31" t="n">
        <v>26</v>
      </c>
      <c r="AC4" s="31" t="n">
        <v>27</v>
      </c>
      <c r="AD4" s="31" t="n">
        <v>28</v>
      </c>
      <c r="AE4" s="31" t="n">
        <v>29</v>
      </c>
      <c r="AF4" s="31" t="n">
        <v>30</v>
      </c>
      <c r="AG4" s="31" t="n">
        <v>31</v>
      </c>
      <c r="AH4" s="31" t="n">
        <v>32</v>
      </c>
      <c r="AI4" s="31" t="n">
        <v>33</v>
      </c>
      <c r="AJ4" s="31" t="n">
        <v>34</v>
      </c>
      <c r="AK4" s="31" t="n">
        <v>35</v>
      </c>
      <c r="AL4" s="31" t="n">
        <v>36</v>
      </c>
    </row>
    <row r="5" customFormat="false" ht="15" hidden="false" customHeight="false" outlineLevel="0" collapsed="false">
      <c r="A5" s="17" t="s">
        <v>21</v>
      </c>
      <c r="C5" s="17" t="n">
        <f aca="false">ROUNDUP(C4*1/12,0)</f>
        <v>1</v>
      </c>
      <c r="D5" s="17" t="n">
        <f aca="false">ROUNDUP(D4*1/12,0)</f>
        <v>1</v>
      </c>
      <c r="E5" s="17" t="n">
        <f aca="false">ROUNDUP(E4*1/12,0)</f>
        <v>1</v>
      </c>
      <c r="F5" s="17" t="n">
        <f aca="false">ROUNDUP(F4*1/12,0)</f>
        <v>1</v>
      </c>
      <c r="G5" s="17" t="n">
        <f aca="false">ROUNDUP(G4*1/12,0)</f>
        <v>1</v>
      </c>
      <c r="H5" s="17" t="n">
        <f aca="false">ROUNDUP(H4*1/12,0)</f>
        <v>1</v>
      </c>
      <c r="I5" s="17" t="n">
        <f aca="false">ROUNDUP(I4*1/12,0)</f>
        <v>1</v>
      </c>
      <c r="J5" s="17" t="n">
        <f aca="false">ROUNDUP(J4*1/12,0)</f>
        <v>1</v>
      </c>
      <c r="K5" s="17" t="n">
        <f aca="false">ROUNDUP(K4*1/12,0)</f>
        <v>1</v>
      </c>
      <c r="L5" s="17" t="n">
        <f aca="false">ROUNDUP(L4*1/12,0)</f>
        <v>1</v>
      </c>
      <c r="M5" s="17" t="n">
        <f aca="false">ROUNDUP(M4*1/12,0)</f>
        <v>1</v>
      </c>
      <c r="N5" s="17" t="n">
        <f aca="false">ROUNDUP(N4*1/12,0)</f>
        <v>1</v>
      </c>
      <c r="O5" s="17" t="n">
        <f aca="false">ROUNDUP(O4*1/12,0)</f>
        <v>2</v>
      </c>
      <c r="P5" s="17" t="n">
        <f aca="false">ROUNDUP(P4*1/12,0)</f>
        <v>2</v>
      </c>
      <c r="Q5" s="17" t="n">
        <f aca="false">ROUNDUP(Q4*1/12,0)</f>
        <v>2</v>
      </c>
      <c r="R5" s="17" t="n">
        <f aca="false">ROUNDUP(R4*1/12,0)</f>
        <v>2</v>
      </c>
      <c r="S5" s="17" t="n">
        <f aca="false">ROUNDUP(S4*1/12,0)</f>
        <v>2</v>
      </c>
      <c r="T5" s="17" t="n">
        <f aca="false">ROUNDUP(T4*1/12,0)</f>
        <v>2</v>
      </c>
      <c r="U5" s="17" t="n">
        <f aca="false">ROUNDUP(U4*1/12,0)</f>
        <v>2</v>
      </c>
      <c r="V5" s="17" t="n">
        <f aca="false">ROUNDUP(V4*1/12,0)</f>
        <v>2</v>
      </c>
      <c r="W5" s="17" t="n">
        <f aca="false">ROUNDUP(W4*1/12,0)</f>
        <v>2</v>
      </c>
      <c r="X5" s="17" t="n">
        <f aca="false">ROUNDUP(X4*1/12,0)</f>
        <v>2</v>
      </c>
      <c r="Y5" s="17" t="n">
        <f aca="false">ROUNDUP(Y4*1/12,0)</f>
        <v>2</v>
      </c>
      <c r="Z5" s="17" t="n">
        <f aca="false">ROUNDUP(Z4*1/12,0)</f>
        <v>2</v>
      </c>
      <c r="AA5" s="17" t="n">
        <f aca="false">ROUNDUP(AA4*1/12,0)</f>
        <v>3</v>
      </c>
      <c r="AB5" s="17" t="n">
        <f aca="false">ROUNDUP(AB4*1/12,0)</f>
        <v>3</v>
      </c>
      <c r="AC5" s="17" t="n">
        <f aca="false">ROUNDUP(AC4*1/12,0)</f>
        <v>3</v>
      </c>
      <c r="AD5" s="17" t="n">
        <f aca="false">ROUNDUP(AD4*1/12,0)</f>
        <v>3</v>
      </c>
      <c r="AE5" s="17" t="n">
        <f aca="false">ROUNDUP(AE4*1/12,0)</f>
        <v>3</v>
      </c>
      <c r="AF5" s="17" t="n">
        <f aca="false">ROUNDUP(AF4*1/12,0)</f>
        <v>3</v>
      </c>
      <c r="AG5" s="17" t="n">
        <f aca="false">ROUNDUP(AG4*1/12,0)</f>
        <v>3</v>
      </c>
      <c r="AH5" s="17" t="n">
        <f aca="false">ROUNDUP(AH4*1/12,0)</f>
        <v>3</v>
      </c>
      <c r="AI5" s="17" t="n">
        <f aca="false">ROUNDUP(AI4*1/12,0)</f>
        <v>3</v>
      </c>
      <c r="AJ5" s="17" t="n">
        <f aca="false">ROUNDUP(AJ4*1/12,0)</f>
        <v>3</v>
      </c>
      <c r="AK5" s="17" t="n">
        <f aca="false">ROUNDUP(AK4*1/12,0)</f>
        <v>3</v>
      </c>
      <c r="AL5" s="17" t="n">
        <f aca="false">ROUNDUP(AL4*1/12,0)</f>
        <v>3</v>
      </c>
    </row>
    <row r="7" customFormat="false" ht="15" hidden="false" customHeight="false" outlineLevel="0" collapsed="false">
      <c r="A7" s="7" t="s">
        <v>54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customFormat="false" ht="15" hidden="false" customHeight="false" outlineLevel="0" collapsed="false">
      <c r="A8" s="11" t="s">
        <v>22</v>
      </c>
      <c r="C8" s="18" t="n">
        <f aca="false">Inputs!$E$13*(1+Inputs!$E$14)^(C$5-1)</f>
        <v>1700</v>
      </c>
      <c r="D8" s="18" t="n">
        <f aca="false">Inputs!$E$13*(1+Inputs!$E$14)^(D$5-1)</f>
        <v>1700</v>
      </c>
      <c r="E8" s="18" t="n">
        <f aca="false">Inputs!$E$13*(1+Inputs!$E$14)^(E$5-1)</f>
        <v>1700</v>
      </c>
      <c r="F8" s="18" t="n">
        <f aca="false">Inputs!$E$13*(1+Inputs!$E$14)^(F$5-1)</f>
        <v>1700</v>
      </c>
      <c r="G8" s="18" t="n">
        <f aca="false">Inputs!$E$13*(1+Inputs!$E$14)^(G$5-1)</f>
        <v>1700</v>
      </c>
      <c r="H8" s="18" t="n">
        <f aca="false">Inputs!$E$13*(1+Inputs!$E$14)^(H$5-1)</f>
        <v>1700</v>
      </c>
      <c r="I8" s="18" t="n">
        <f aca="false">Inputs!$E$13*(1+Inputs!$E$14)^(I$5-1)</f>
        <v>1700</v>
      </c>
      <c r="J8" s="18" t="n">
        <f aca="false">Inputs!$E$13*(1+Inputs!$E$14)^(J$5-1)</f>
        <v>1700</v>
      </c>
      <c r="K8" s="18" t="n">
        <f aca="false">Inputs!$E$13*(1+Inputs!$E$14)^(K$5-1)</f>
        <v>1700</v>
      </c>
      <c r="L8" s="18" t="n">
        <f aca="false">Inputs!$E$13*(1+Inputs!$E$14)^(L$5-1)</f>
        <v>1700</v>
      </c>
      <c r="M8" s="18" t="n">
        <f aca="false">Inputs!$E$13*(1+Inputs!$E$14)^(M$5-1)</f>
        <v>1700</v>
      </c>
      <c r="N8" s="18" t="n">
        <f aca="false">Inputs!$E$13*(1+Inputs!$E$14)^(N$5-1)</f>
        <v>1700</v>
      </c>
      <c r="O8" s="18" t="n">
        <f aca="false">Inputs!$E$13*(1+Inputs!$E$14)^(O$5-1)</f>
        <v>1751</v>
      </c>
      <c r="P8" s="18" t="n">
        <f aca="false">Inputs!$E$13*(1+Inputs!$E$14)^(P$5-1)</f>
        <v>1751</v>
      </c>
      <c r="Q8" s="18" t="n">
        <f aca="false">Inputs!$E$13*(1+Inputs!$E$14)^(Q$5-1)</f>
        <v>1751</v>
      </c>
      <c r="R8" s="18" t="n">
        <f aca="false">Inputs!$E$13*(1+Inputs!$E$14)^(R$5-1)</f>
        <v>1751</v>
      </c>
      <c r="S8" s="18" t="n">
        <f aca="false">Inputs!$E$13*(1+Inputs!$E$14)^(S$5-1)</f>
        <v>1751</v>
      </c>
      <c r="T8" s="18" t="n">
        <f aca="false">Inputs!$E$13*(1+Inputs!$E$14)^(T$5-1)</f>
        <v>1751</v>
      </c>
      <c r="U8" s="18" t="n">
        <f aca="false">Inputs!$E$13*(1+Inputs!$E$14)^(U$5-1)</f>
        <v>1751</v>
      </c>
      <c r="V8" s="18" t="n">
        <f aca="false">Inputs!$E$13*(1+Inputs!$E$14)^(V$5-1)</f>
        <v>1751</v>
      </c>
      <c r="W8" s="18" t="n">
        <f aca="false">Inputs!$E$13*(1+Inputs!$E$14)^(W$5-1)</f>
        <v>1751</v>
      </c>
      <c r="X8" s="18" t="n">
        <f aca="false">Inputs!$E$13*(1+Inputs!$E$14)^(X$5-1)</f>
        <v>1751</v>
      </c>
      <c r="Y8" s="18" t="n">
        <f aca="false">Inputs!$E$13*(1+Inputs!$E$14)^(Y$5-1)</f>
        <v>1751</v>
      </c>
      <c r="Z8" s="18" t="n">
        <f aca="false">Inputs!$E$13*(1+Inputs!$E$14)^(Z$5-1)</f>
        <v>1751</v>
      </c>
      <c r="AA8" s="18" t="n">
        <f aca="false">Inputs!$E$13*(1+Inputs!$E$14)^(AA$5-1)</f>
        <v>1803.53</v>
      </c>
      <c r="AB8" s="18" t="n">
        <f aca="false">Inputs!$E$13*(1+Inputs!$E$14)^(AB$5-1)</f>
        <v>1803.53</v>
      </c>
      <c r="AC8" s="18" t="n">
        <f aca="false">Inputs!$E$13*(1+Inputs!$E$14)^(AC$5-1)</f>
        <v>1803.53</v>
      </c>
      <c r="AD8" s="18" t="n">
        <f aca="false">Inputs!$E$13*(1+Inputs!$E$14)^(AD$5-1)</f>
        <v>1803.53</v>
      </c>
      <c r="AE8" s="18" t="n">
        <f aca="false">Inputs!$E$13*(1+Inputs!$E$14)^(AE$5-1)</f>
        <v>1803.53</v>
      </c>
      <c r="AF8" s="18" t="n">
        <f aca="false">Inputs!$E$13*(1+Inputs!$E$14)^(AF$5-1)</f>
        <v>1803.53</v>
      </c>
      <c r="AG8" s="18" t="n">
        <f aca="false">Inputs!$E$13*(1+Inputs!$E$14)^(AG$5-1)</f>
        <v>1803.53</v>
      </c>
      <c r="AH8" s="18" t="n">
        <f aca="false">Inputs!$E$13*(1+Inputs!$E$14)^(AH$5-1)</f>
        <v>1803.53</v>
      </c>
      <c r="AI8" s="18" t="n">
        <f aca="false">Inputs!$E$13*(1+Inputs!$E$14)^(AI$5-1)</f>
        <v>1803.53</v>
      </c>
      <c r="AJ8" s="18" t="n">
        <f aca="false">Inputs!$E$13*(1+Inputs!$E$14)^(AJ$5-1)</f>
        <v>1803.53</v>
      </c>
      <c r="AK8" s="18" t="n">
        <f aca="false">Inputs!$E$13*(1+Inputs!$E$14)^(AK$5-1)</f>
        <v>1803.53</v>
      </c>
      <c r="AL8" s="18" t="n">
        <f aca="false">Inputs!$E$13*(1+Inputs!$E$14)^(AL$5-1)</f>
        <v>1803.53</v>
      </c>
    </row>
    <row r="9" customFormat="false" ht="15" hidden="false" customHeight="false" outlineLevel="0" collapsed="false">
      <c r="A9" s="11" t="s">
        <v>128</v>
      </c>
      <c r="C9" s="19" t="n">
        <f aca="false">Inputs!$E$10*C8*1</f>
        <v>17000</v>
      </c>
      <c r="D9" s="19" t="n">
        <f aca="false">Inputs!$E$10*D8*1</f>
        <v>17000</v>
      </c>
      <c r="E9" s="19" t="n">
        <f aca="false">Inputs!$E$10*E8*1</f>
        <v>17000</v>
      </c>
      <c r="F9" s="19" t="n">
        <f aca="false">Inputs!$E$10*F8*1</f>
        <v>17000</v>
      </c>
      <c r="G9" s="19" t="n">
        <f aca="false">Inputs!$E$10*G8*1</f>
        <v>17000</v>
      </c>
      <c r="H9" s="19" t="n">
        <f aca="false">Inputs!$E$10*H8*1</f>
        <v>17000</v>
      </c>
      <c r="I9" s="19" t="n">
        <f aca="false">Inputs!$E$10*I8*1</f>
        <v>17000</v>
      </c>
      <c r="J9" s="19" t="n">
        <f aca="false">Inputs!$E$10*J8*1</f>
        <v>17000</v>
      </c>
      <c r="K9" s="19" t="n">
        <f aca="false">Inputs!$E$10*K8*1</f>
        <v>17000</v>
      </c>
      <c r="L9" s="19" t="n">
        <f aca="false">Inputs!$E$10*L8*1</f>
        <v>17000</v>
      </c>
      <c r="M9" s="19" t="n">
        <f aca="false">Inputs!$E$10*M8*1</f>
        <v>17000</v>
      </c>
      <c r="N9" s="19" t="n">
        <f aca="false">Inputs!$E$10*N8*1</f>
        <v>17000</v>
      </c>
      <c r="O9" s="19" t="n">
        <f aca="false">Inputs!$E$10*O8*1</f>
        <v>17510</v>
      </c>
      <c r="P9" s="19" t="n">
        <f aca="false">Inputs!$E$10*P8*1</f>
        <v>17510</v>
      </c>
      <c r="Q9" s="19" t="n">
        <f aca="false">Inputs!$E$10*Q8*1</f>
        <v>17510</v>
      </c>
      <c r="R9" s="19" t="n">
        <f aca="false">Inputs!$E$10*R8*1</f>
        <v>17510</v>
      </c>
      <c r="S9" s="19" t="n">
        <f aca="false">Inputs!$E$10*S8*1</f>
        <v>17510</v>
      </c>
      <c r="T9" s="19" t="n">
        <f aca="false">Inputs!$E$10*T8*1</f>
        <v>17510</v>
      </c>
      <c r="U9" s="19" t="n">
        <f aca="false">Inputs!$E$10*U8*1</f>
        <v>17510</v>
      </c>
      <c r="V9" s="19" t="n">
        <f aca="false">Inputs!$E$10*V8*1</f>
        <v>17510</v>
      </c>
      <c r="W9" s="19" t="n">
        <f aca="false">Inputs!$E$10*W8*1</f>
        <v>17510</v>
      </c>
      <c r="X9" s="19" t="n">
        <f aca="false">Inputs!$E$10*X8*1</f>
        <v>17510</v>
      </c>
      <c r="Y9" s="19" t="n">
        <f aca="false">Inputs!$E$10*Y8*1</f>
        <v>17510</v>
      </c>
      <c r="Z9" s="19" t="n">
        <f aca="false">Inputs!$E$10*Z8*1</f>
        <v>17510</v>
      </c>
      <c r="AA9" s="19" t="n">
        <f aca="false">Inputs!$E$10*AA8*1</f>
        <v>18035.3</v>
      </c>
      <c r="AB9" s="19" t="n">
        <f aca="false">Inputs!$E$10*AB8*1</f>
        <v>18035.3</v>
      </c>
      <c r="AC9" s="19" t="n">
        <f aca="false">Inputs!$E$10*AC8*1</f>
        <v>18035.3</v>
      </c>
      <c r="AD9" s="19" t="n">
        <f aca="false">Inputs!$E$10*AD8*1</f>
        <v>18035.3</v>
      </c>
      <c r="AE9" s="19" t="n">
        <f aca="false">Inputs!$E$10*AE8*1</f>
        <v>18035.3</v>
      </c>
      <c r="AF9" s="19" t="n">
        <f aca="false">Inputs!$E$10*AF8*1</f>
        <v>18035.3</v>
      </c>
      <c r="AG9" s="19" t="n">
        <f aca="false">Inputs!$E$10*AG8*1</f>
        <v>18035.3</v>
      </c>
      <c r="AH9" s="19" t="n">
        <f aca="false">Inputs!$E$10*AH8*1</f>
        <v>18035.3</v>
      </c>
      <c r="AI9" s="19" t="n">
        <f aca="false">Inputs!$E$10*AI8*1</f>
        <v>18035.3</v>
      </c>
      <c r="AJ9" s="19" t="n">
        <f aca="false">Inputs!$E$10*AJ8*1</f>
        <v>18035.3</v>
      </c>
      <c r="AK9" s="19" t="n">
        <f aca="false">Inputs!$E$10*AK8*1</f>
        <v>18035.3</v>
      </c>
      <c r="AL9" s="19" t="n">
        <f aca="false">Inputs!$E$10*AL8*1</f>
        <v>18035.3</v>
      </c>
    </row>
    <row r="10" customFormat="false" ht="15" hidden="false" customHeight="false" outlineLevel="0" collapsed="false">
      <c r="A10" s="11" t="s">
        <v>24</v>
      </c>
      <c r="C10" s="19" t="n">
        <f aca="false">-C9*Inputs!$E$15</f>
        <v>-850</v>
      </c>
      <c r="D10" s="19" t="n">
        <f aca="false">-D9*Inputs!$E$15</f>
        <v>-850</v>
      </c>
      <c r="E10" s="19" t="n">
        <f aca="false">-E9*Inputs!$E$15</f>
        <v>-850</v>
      </c>
      <c r="F10" s="19" t="n">
        <f aca="false">-F9*Inputs!$E$15</f>
        <v>-850</v>
      </c>
      <c r="G10" s="19" t="n">
        <f aca="false">-G9*Inputs!$E$15</f>
        <v>-850</v>
      </c>
      <c r="H10" s="19" t="n">
        <f aca="false">-H9*Inputs!$E$15</f>
        <v>-850</v>
      </c>
      <c r="I10" s="19" t="n">
        <f aca="false">-I9*Inputs!$E$15</f>
        <v>-850</v>
      </c>
      <c r="J10" s="19" t="n">
        <f aca="false">-J9*Inputs!$E$15</f>
        <v>-850</v>
      </c>
      <c r="K10" s="19" t="n">
        <f aca="false">-K9*Inputs!$E$15</f>
        <v>-850</v>
      </c>
      <c r="L10" s="19" t="n">
        <f aca="false">-L9*Inputs!$E$15</f>
        <v>-850</v>
      </c>
      <c r="M10" s="19" t="n">
        <f aca="false">-M9*Inputs!$E$15</f>
        <v>-850</v>
      </c>
      <c r="N10" s="19" t="n">
        <f aca="false">-N9*Inputs!$E$15</f>
        <v>-850</v>
      </c>
      <c r="O10" s="19" t="n">
        <f aca="false">-O9*Inputs!$E$15</f>
        <v>-875.5</v>
      </c>
      <c r="P10" s="19" t="n">
        <f aca="false">-P9*Inputs!$E$15</f>
        <v>-875.5</v>
      </c>
      <c r="Q10" s="19" t="n">
        <f aca="false">-Q9*Inputs!$E$15</f>
        <v>-875.5</v>
      </c>
      <c r="R10" s="19" t="n">
        <f aca="false">-R9*Inputs!$E$15</f>
        <v>-875.5</v>
      </c>
      <c r="S10" s="19" t="n">
        <f aca="false">-S9*Inputs!$E$15</f>
        <v>-875.5</v>
      </c>
      <c r="T10" s="19" t="n">
        <f aca="false">-T9*Inputs!$E$15</f>
        <v>-875.5</v>
      </c>
      <c r="U10" s="19" t="n">
        <f aca="false">-U9*Inputs!$E$15</f>
        <v>-875.5</v>
      </c>
      <c r="V10" s="19" t="n">
        <f aca="false">-V9*Inputs!$E$15</f>
        <v>-875.5</v>
      </c>
      <c r="W10" s="19" t="n">
        <f aca="false">-W9*Inputs!$E$15</f>
        <v>-875.5</v>
      </c>
      <c r="X10" s="19" t="n">
        <f aca="false">-X9*Inputs!$E$15</f>
        <v>-875.5</v>
      </c>
      <c r="Y10" s="19" t="n">
        <f aca="false">-Y9*Inputs!$E$15</f>
        <v>-875.5</v>
      </c>
      <c r="Z10" s="19" t="n">
        <f aca="false">-Z9*Inputs!$E$15</f>
        <v>-875.5</v>
      </c>
      <c r="AA10" s="19" t="n">
        <f aca="false">-AA9*Inputs!$E$15</f>
        <v>-901.765</v>
      </c>
      <c r="AB10" s="19" t="n">
        <f aca="false">-AB9*Inputs!$E$15</f>
        <v>-901.765</v>
      </c>
      <c r="AC10" s="19" t="n">
        <f aca="false">-AC9*Inputs!$E$15</f>
        <v>-901.765</v>
      </c>
      <c r="AD10" s="19" t="n">
        <f aca="false">-AD9*Inputs!$E$15</f>
        <v>-901.765</v>
      </c>
      <c r="AE10" s="19" t="n">
        <f aca="false">-AE9*Inputs!$E$15</f>
        <v>-901.765</v>
      </c>
      <c r="AF10" s="19" t="n">
        <f aca="false">-AF9*Inputs!$E$15</f>
        <v>-901.765</v>
      </c>
      <c r="AG10" s="19" t="n">
        <f aca="false">-AG9*Inputs!$E$15</f>
        <v>-901.765</v>
      </c>
      <c r="AH10" s="19" t="n">
        <f aca="false">-AH9*Inputs!$E$15</f>
        <v>-901.765</v>
      </c>
      <c r="AI10" s="19" t="n">
        <f aca="false">-AI9*Inputs!$E$15</f>
        <v>-901.765</v>
      </c>
      <c r="AJ10" s="19" t="n">
        <f aca="false">-AJ9*Inputs!$E$15</f>
        <v>-901.765</v>
      </c>
      <c r="AK10" s="19" t="n">
        <f aca="false">-AK9*Inputs!$E$15</f>
        <v>-901.765</v>
      </c>
      <c r="AL10" s="19" t="n">
        <f aca="false">-AL9*Inputs!$E$15</f>
        <v>-901.765</v>
      </c>
    </row>
    <row r="11" customFormat="false" ht="15" hidden="false" customHeight="false" outlineLevel="0" collapsed="false">
      <c r="A11" s="11" t="s">
        <v>129</v>
      </c>
      <c r="C11" s="19" t="n">
        <f aca="false">Inputs!$E$10*Inputs!$E$16*(1+Inputs!$E$14)^(C$5-1)*(1-Inputs!$E$15)*1</f>
        <v>237.5</v>
      </c>
      <c r="D11" s="19" t="n">
        <f aca="false">Inputs!$E$10*Inputs!$E$16*(1+Inputs!$E$14)^(D$5-1)*(1-Inputs!$E$15)*1</f>
        <v>237.5</v>
      </c>
      <c r="E11" s="19" t="n">
        <f aca="false">Inputs!$E$10*Inputs!$E$16*(1+Inputs!$E$14)^(E$5-1)*(1-Inputs!$E$15)*1</f>
        <v>237.5</v>
      </c>
      <c r="F11" s="19" t="n">
        <f aca="false">Inputs!$E$10*Inputs!$E$16*(1+Inputs!$E$14)^(F$5-1)*(1-Inputs!$E$15)*1</f>
        <v>237.5</v>
      </c>
      <c r="G11" s="19" t="n">
        <f aca="false">Inputs!$E$10*Inputs!$E$16*(1+Inputs!$E$14)^(G$5-1)*(1-Inputs!$E$15)*1</f>
        <v>237.5</v>
      </c>
      <c r="H11" s="19" t="n">
        <f aca="false">Inputs!$E$10*Inputs!$E$16*(1+Inputs!$E$14)^(H$5-1)*(1-Inputs!$E$15)*1</f>
        <v>237.5</v>
      </c>
      <c r="I11" s="19" t="n">
        <f aca="false">Inputs!$E$10*Inputs!$E$16*(1+Inputs!$E$14)^(I$5-1)*(1-Inputs!$E$15)*1</f>
        <v>237.5</v>
      </c>
      <c r="J11" s="19" t="n">
        <f aca="false">Inputs!$E$10*Inputs!$E$16*(1+Inputs!$E$14)^(J$5-1)*(1-Inputs!$E$15)*1</f>
        <v>237.5</v>
      </c>
      <c r="K11" s="19" t="n">
        <f aca="false">Inputs!$E$10*Inputs!$E$16*(1+Inputs!$E$14)^(K$5-1)*(1-Inputs!$E$15)*1</f>
        <v>237.5</v>
      </c>
      <c r="L11" s="19" t="n">
        <f aca="false">Inputs!$E$10*Inputs!$E$16*(1+Inputs!$E$14)^(L$5-1)*(1-Inputs!$E$15)*1</f>
        <v>237.5</v>
      </c>
      <c r="M11" s="19" t="n">
        <f aca="false">Inputs!$E$10*Inputs!$E$16*(1+Inputs!$E$14)^(M$5-1)*(1-Inputs!$E$15)*1</f>
        <v>237.5</v>
      </c>
      <c r="N11" s="19" t="n">
        <f aca="false">Inputs!$E$10*Inputs!$E$16*(1+Inputs!$E$14)^(N$5-1)*(1-Inputs!$E$15)*1</f>
        <v>237.5</v>
      </c>
      <c r="O11" s="19" t="n">
        <f aca="false">Inputs!$E$10*Inputs!$E$16*(1+Inputs!$E$14)^(O$5-1)*(1-Inputs!$E$15)*1</f>
        <v>244.625</v>
      </c>
      <c r="P11" s="19" t="n">
        <f aca="false">Inputs!$E$10*Inputs!$E$16*(1+Inputs!$E$14)^(P$5-1)*(1-Inputs!$E$15)*1</f>
        <v>244.625</v>
      </c>
      <c r="Q11" s="19" t="n">
        <f aca="false">Inputs!$E$10*Inputs!$E$16*(1+Inputs!$E$14)^(Q$5-1)*(1-Inputs!$E$15)*1</f>
        <v>244.625</v>
      </c>
      <c r="R11" s="19" t="n">
        <f aca="false">Inputs!$E$10*Inputs!$E$16*(1+Inputs!$E$14)^(R$5-1)*(1-Inputs!$E$15)*1</f>
        <v>244.625</v>
      </c>
      <c r="S11" s="19" t="n">
        <f aca="false">Inputs!$E$10*Inputs!$E$16*(1+Inputs!$E$14)^(S$5-1)*(1-Inputs!$E$15)*1</f>
        <v>244.625</v>
      </c>
      <c r="T11" s="19" t="n">
        <f aca="false">Inputs!$E$10*Inputs!$E$16*(1+Inputs!$E$14)^(T$5-1)*(1-Inputs!$E$15)*1</f>
        <v>244.625</v>
      </c>
      <c r="U11" s="19" t="n">
        <f aca="false">Inputs!$E$10*Inputs!$E$16*(1+Inputs!$E$14)^(U$5-1)*(1-Inputs!$E$15)*1</f>
        <v>244.625</v>
      </c>
      <c r="V11" s="19" t="n">
        <f aca="false">Inputs!$E$10*Inputs!$E$16*(1+Inputs!$E$14)^(V$5-1)*(1-Inputs!$E$15)*1</f>
        <v>244.625</v>
      </c>
      <c r="W11" s="19" t="n">
        <f aca="false">Inputs!$E$10*Inputs!$E$16*(1+Inputs!$E$14)^(W$5-1)*(1-Inputs!$E$15)*1</f>
        <v>244.625</v>
      </c>
      <c r="X11" s="19" t="n">
        <f aca="false">Inputs!$E$10*Inputs!$E$16*(1+Inputs!$E$14)^(X$5-1)*(1-Inputs!$E$15)*1</f>
        <v>244.625</v>
      </c>
      <c r="Y11" s="19" t="n">
        <f aca="false">Inputs!$E$10*Inputs!$E$16*(1+Inputs!$E$14)^(Y$5-1)*(1-Inputs!$E$15)*1</f>
        <v>244.625</v>
      </c>
      <c r="Z11" s="19" t="n">
        <f aca="false">Inputs!$E$10*Inputs!$E$16*(1+Inputs!$E$14)^(Z$5-1)*(1-Inputs!$E$15)*1</f>
        <v>244.625</v>
      </c>
      <c r="AA11" s="19" t="n">
        <f aca="false">Inputs!$E$10*Inputs!$E$16*(1+Inputs!$E$14)^(AA$5-1)*(1-Inputs!$E$15)*1</f>
        <v>251.96375</v>
      </c>
      <c r="AB11" s="19" t="n">
        <f aca="false">Inputs!$E$10*Inputs!$E$16*(1+Inputs!$E$14)^(AB$5-1)*(1-Inputs!$E$15)*1</f>
        <v>251.96375</v>
      </c>
      <c r="AC11" s="19" t="n">
        <f aca="false">Inputs!$E$10*Inputs!$E$16*(1+Inputs!$E$14)^(AC$5-1)*(1-Inputs!$E$15)*1</f>
        <v>251.96375</v>
      </c>
      <c r="AD11" s="19" t="n">
        <f aca="false">Inputs!$E$10*Inputs!$E$16*(1+Inputs!$E$14)^(AD$5-1)*(1-Inputs!$E$15)*1</f>
        <v>251.96375</v>
      </c>
      <c r="AE11" s="19" t="n">
        <f aca="false">Inputs!$E$10*Inputs!$E$16*(1+Inputs!$E$14)^(AE$5-1)*(1-Inputs!$E$15)*1</f>
        <v>251.96375</v>
      </c>
      <c r="AF11" s="19" t="n">
        <f aca="false">Inputs!$E$10*Inputs!$E$16*(1+Inputs!$E$14)^(AF$5-1)*(1-Inputs!$E$15)*1</f>
        <v>251.96375</v>
      </c>
      <c r="AG11" s="19" t="n">
        <f aca="false">Inputs!$E$10*Inputs!$E$16*(1+Inputs!$E$14)^(AG$5-1)*(1-Inputs!$E$15)*1</f>
        <v>251.96375</v>
      </c>
      <c r="AH11" s="19" t="n">
        <f aca="false">Inputs!$E$10*Inputs!$E$16*(1+Inputs!$E$14)^(AH$5-1)*(1-Inputs!$E$15)*1</f>
        <v>251.96375</v>
      </c>
      <c r="AI11" s="19" t="n">
        <f aca="false">Inputs!$E$10*Inputs!$E$16*(1+Inputs!$E$14)^(AI$5-1)*(1-Inputs!$E$15)*1</f>
        <v>251.96375</v>
      </c>
      <c r="AJ11" s="19" t="n">
        <f aca="false">Inputs!$E$10*Inputs!$E$16*(1+Inputs!$E$14)^(AJ$5-1)*(1-Inputs!$E$15)*1</f>
        <v>251.96375</v>
      </c>
      <c r="AK11" s="19" t="n">
        <f aca="false">Inputs!$E$10*Inputs!$E$16*(1+Inputs!$E$14)^(AK$5-1)*(1-Inputs!$E$15)*1</f>
        <v>251.96375</v>
      </c>
      <c r="AL11" s="19" t="n">
        <f aca="false">Inputs!$E$10*Inputs!$E$16*(1+Inputs!$E$14)^(AL$5-1)*(1-Inputs!$E$15)*1</f>
        <v>251.96375</v>
      </c>
    </row>
    <row r="12" customFormat="false" ht="15" hidden="false" customHeight="false" outlineLevel="0" collapsed="false">
      <c r="A12" s="4" t="s">
        <v>26</v>
      </c>
      <c r="C12" s="32" t="n">
        <f aca="false">C9+C10+C11</f>
        <v>16387.5</v>
      </c>
      <c r="D12" s="32" t="n">
        <f aca="false">D9+D10+D11</f>
        <v>16387.5</v>
      </c>
      <c r="E12" s="32" t="n">
        <f aca="false">E9+E10+E11</f>
        <v>16387.5</v>
      </c>
      <c r="F12" s="32" t="n">
        <f aca="false">F9+F10+F11</f>
        <v>16387.5</v>
      </c>
      <c r="G12" s="32" t="n">
        <f aca="false">G9+G10+G11</f>
        <v>16387.5</v>
      </c>
      <c r="H12" s="32" t="n">
        <f aca="false">H9+H10+H11</f>
        <v>16387.5</v>
      </c>
      <c r="I12" s="32" t="n">
        <f aca="false">I9+I10+I11</f>
        <v>16387.5</v>
      </c>
      <c r="J12" s="32" t="n">
        <f aca="false">J9+J10+J11</f>
        <v>16387.5</v>
      </c>
      <c r="K12" s="32" t="n">
        <f aca="false">K9+K10+K11</f>
        <v>16387.5</v>
      </c>
      <c r="L12" s="32" t="n">
        <f aca="false">L9+L10+L11</f>
        <v>16387.5</v>
      </c>
      <c r="M12" s="32" t="n">
        <f aca="false">M9+M10+M11</f>
        <v>16387.5</v>
      </c>
      <c r="N12" s="32" t="n">
        <f aca="false">N9+N10+N11</f>
        <v>16387.5</v>
      </c>
      <c r="O12" s="32" t="n">
        <f aca="false">O9+O10+O11</f>
        <v>16879.125</v>
      </c>
      <c r="P12" s="32" t="n">
        <f aca="false">P9+P10+P11</f>
        <v>16879.125</v>
      </c>
      <c r="Q12" s="32" t="n">
        <f aca="false">Q9+Q10+Q11</f>
        <v>16879.125</v>
      </c>
      <c r="R12" s="32" t="n">
        <f aca="false">R9+R10+R11</f>
        <v>16879.125</v>
      </c>
      <c r="S12" s="32" t="n">
        <f aca="false">S9+S10+S11</f>
        <v>16879.125</v>
      </c>
      <c r="T12" s="32" t="n">
        <f aca="false">T9+T10+T11</f>
        <v>16879.125</v>
      </c>
      <c r="U12" s="32" t="n">
        <f aca="false">U9+U10+U11</f>
        <v>16879.125</v>
      </c>
      <c r="V12" s="32" t="n">
        <f aca="false">V9+V10+V11</f>
        <v>16879.125</v>
      </c>
      <c r="W12" s="32" t="n">
        <f aca="false">W9+W10+W11</f>
        <v>16879.125</v>
      </c>
      <c r="X12" s="32" t="n">
        <f aca="false">X9+X10+X11</f>
        <v>16879.125</v>
      </c>
      <c r="Y12" s="32" t="n">
        <f aca="false">Y9+Y10+Y11</f>
        <v>16879.125</v>
      </c>
      <c r="Z12" s="32" t="n">
        <f aca="false">Z9+Z10+Z11</f>
        <v>16879.125</v>
      </c>
      <c r="AA12" s="32" t="n">
        <f aca="false">AA9+AA10+AA11</f>
        <v>17385.49875</v>
      </c>
      <c r="AB12" s="32" t="n">
        <f aca="false">AB9+AB10+AB11</f>
        <v>17385.49875</v>
      </c>
      <c r="AC12" s="32" t="n">
        <f aca="false">AC9+AC10+AC11</f>
        <v>17385.49875</v>
      </c>
      <c r="AD12" s="32" t="n">
        <f aca="false">AD9+AD10+AD11</f>
        <v>17385.49875</v>
      </c>
      <c r="AE12" s="32" t="n">
        <f aca="false">AE9+AE10+AE11</f>
        <v>17385.49875</v>
      </c>
      <c r="AF12" s="32" t="n">
        <f aca="false">AF9+AF10+AF11</f>
        <v>17385.49875</v>
      </c>
      <c r="AG12" s="32" t="n">
        <f aca="false">AG9+AG10+AG11</f>
        <v>17385.49875</v>
      </c>
      <c r="AH12" s="32" t="n">
        <f aca="false">AH9+AH10+AH11</f>
        <v>17385.49875</v>
      </c>
      <c r="AI12" s="32" t="n">
        <f aca="false">AI9+AI10+AI11</f>
        <v>17385.49875</v>
      </c>
      <c r="AJ12" s="32" t="n">
        <f aca="false">AJ9+AJ10+AJ11</f>
        <v>17385.49875</v>
      </c>
      <c r="AK12" s="32" t="n">
        <f aca="false">AK9+AK10+AK11</f>
        <v>17385.49875</v>
      </c>
      <c r="AL12" s="32" t="n">
        <f aca="false">AL9+AL10+AL11</f>
        <v>17385.49875</v>
      </c>
    </row>
    <row r="14" customFormat="false" ht="15" hidden="false" customHeight="false" outlineLevel="0" collapsed="false">
      <c r="A14" s="7" t="s">
        <v>130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customFormat="false" ht="15" hidden="false" customHeight="false" outlineLevel="0" collapsed="false">
      <c r="A15" s="11" t="s">
        <v>131</v>
      </c>
      <c r="C15" s="19" t="n">
        <f aca="false">-(C9+C10)*Inputs!$E$19</f>
        <v>-969</v>
      </c>
      <c r="D15" s="19" t="n">
        <f aca="false">-(D9+D10)*Inputs!$E$19</f>
        <v>-969</v>
      </c>
      <c r="E15" s="19" t="n">
        <f aca="false">-(E9+E10)*Inputs!$E$19</f>
        <v>-969</v>
      </c>
      <c r="F15" s="19" t="n">
        <f aca="false">-(F9+F10)*Inputs!$E$19</f>
        <v>-969</v>
      </c>
      <c r="G15" s="19" t="n">
        <f aca="false">-(G9+G10)*Inputs!$E$19</f>
        <v>-969</v>
      </c>
      <c r="H15" s="19" t="n">
        <f aca="false">-(H9+H10)*Inputs!$E$19</f>
        <v>-969</v>
      </c>
      <c r="I15" s="19" t="n">
        <f aca="false">-(I9+I10)*Inputs!$E$19</f>
        <v>-969</v>
      </c>
      <c r="J15" s="19" t="n">
        <f aca="false">-(J9+J10)*Inputs!$E$19</f>
        <v>-969</v>
      </c>
      <c r="K15" s="19" t="n">
        <f aca="false">-(K9+K10)*Inputs!$E$19</f>
        <v>-969</v>
      </c>
      <c r="L15" s="19" t="n">
        <f aca="false">-(L9+L10)*Inputs!$E$19</f>
        <v>-969</v>
      </c>
      <c r="M15" s="19" t="n">
        <f aca="false">-(M9+M10)*Inputs!$E$19</f>
        <v>-969</v>
      </c>
      <c r="N15" s="19" t="n">
        <f aca="false">-(N9+N10)*Inputs!$E$19</f>
        <v>-969</v>
      </c>
      <c r="O15" s="19" t="n">
        <f aca="false">-(O9+O10)*Inputs!$E$19</f>
        <v>-998.07</v>
      </c>
      <c r="P15" s="19" t="n">
        <f aca="false">-(P9+P10)*Inputs!$E$19</f>
        <v>-998.07</v>
      </c>
      <c r="Q15" s="19" t="n">
        <f aca="false">-(Q9+Q10)*Inputs!$E$19</f>
        <v>-998.07</v>
      </c>
      <c r="R15" s="19" t="n">
        <f aca="false">-(R9+R10)*Inputs!$E$19</f>
        <v>-998.07</v>
      </c>
      <c r="S15" s="19" t="n">
        <f aca="false">-(S9+S10)*Inputs!$E$19</f>
        <v>-998.07</v>
      </c>
      <c r="T15" s="19" t="n">
        <f aca="false">-(T9+T10)*Inputs!$E$19</f>
        <v>-998.07</v>
      </c>
      <c r="U15" s="19" t="n">
        <f aca="false">-(U9+U10)*Inputs!$E$19</f>
        <v>-998.07</v>
      </c>
      <c r="V15" s="19" t="n">
        <f aca="false">-(V9+V10)*Inputs!$E$19</f>
        <v>-998.07</v>
      </c>
      <c r="W15" s="19" t="n">
        <f aca="false">-(W9+W10)*Inputs!$E$19</f>
        <v>-998.07</v>
      </c>
      <c r="X15" s="19" t="n">
        <f aca="false">-(X9+X10)*Inputs!$E$19</f>
        <v>-998.07</v>
      </c>
      <c r="Y15" s="19" t="n">
        <f aca="false">-(Y9+Y10)*Inputs!$E$19</f>
        <v>-998.07</v>
      </c>
      <c r="Z15" s="19" t="n">
        <f aca="false">-(Z9+Z10)*Inputs!$E$19</f>
        <v>-998.07</v>
      </c>
      <c r="AA15" s="19" t="n">
        <f aca="false">-(AA9+AA10)*Inputs!$E$19</f>
        <v>-1028.0121</v>
      </c>
      <c r="AB15" s="19" t="n">
        <f aca="false">-(AB9+AB10)*Inputs!$E$19</f>
        <v>-1028.0121</v>
      </c>
      <c r="AC15" s="19" t="n">
        <f aca="false">-(AC9+AC10)*Inputs!$E$19</f>
        <v>-1028.0121</v>
      </c>
      <c r="AD15" s="19" t="n">
        <f aca="false">-(AD9+AD10)*Inputs!$E$19</f>
        <v>-1028.0121</v>
      </c>
      <c r="AE15" s="19" t="n">
        <f aca="false">-(AE9+AE10)*Inputs!$E$19</f>
        <v>-1028.0121</v>
      </c>
      <c r="AF15" s="19" t="n">
        <f aca="false">-(AF9+AF10)*Inputs!$E$19</f>
        <v>-1028.0121</v>
      </c>
      <c r="AG15" s="19" t="n">
        <f aca="false">-(AG9+AG10)*Inputs!$E$19</f>
        <v>-1028.0121</v>
      </c>
      <c r="AH15" s="19" t="n">
        <f aca="false">-(AH9+AH10)*Inputs!$E$19</f>
        <v>-1028.0121</v>
      </c>
      <c r="AI15" s="19" t="n">
        <f aca="false">-(AI9+AI10)*Inputs!$E$19</f>
        <v>-1028.0121</v>
      </c>
      <c r="AJ15" s="19" t="n">
        <f aca="false">-(AJ9+AJ10)*Inputs!$E$19</f>
        <v>-1028.0121</v>
      </c>
      <c r="AK15" s="19" t="n">
        <f aca="false">-(AK9+AK10)*Inputs!$E$19</f>
        <v>-1028.0121</v>
      </c>
      <c r="AL15" s="19" t="n">
        <f aca="false">-(AL9+AL10)*Inputs!$E$19</f>
        <v>-1028.0121</v>
      </c>
    </row>
    <row r="16" customFormat="false" ht="15" hidden="false" customHeight="false" outlineLevel="0" collapsed="false">
      <c r="A16" s="11" t="s">
        <v>132</v>
      </c>
      <c r="C16" s="19" t="n">
        <f aca="false">-Inputs!$E$20*(1+Inputs!$E$25)^(C$5-1)*1</f>
        <v>-900</v>
      </c>
      <c r="D16" s="19" t="n">
        <f aca="false">-Inputs!$E$20*(1+Inputs!$E$25)^(D$5-1)*1</f>
        <v>-900</v>
      </c>
      <c r="E16" s="19" t="n">
        <f aca="false">-Inputs!$E$20*(1+Inputs!$E$25)^(E$5-1)*1</f>
        <v>-900</v>
      </c>
      <c r="F16" s="19" t="n">
        <f aca="false">-Inputs!$E$20*(1+Inputs!$E$25)^(F$5-1)*1</f>
        <v>-900</v>
      </c>
      <c r="G16" s="19" t="n">
        <f aca="false">-Inputs!$E$20*(1+Inputs!$E$25)^(G$5-1)*1</f>
        <v>-900</v>
      </c>
      <c r="H16" s="19" t="n">
        <f aca="false">-Inputs!$E$20*(1+Inputs!$E$25)^(H$5-1)*1</f>
        <v>-900</v>
      </c>
      <c r="I16" s="19" t="n">
        <f aca="false">-Inputs!$E$20*(1+Inputs!$E$25)^(I$5-1)*1</f>
        <v>-900</v>
      </c>
      <c r="J16" s="19" t="n">
        <f aca="false">-Inputs!$E$20*(1+Inputs!$E$25)^(J$5-1)*1</f>
        <v>-900</v>
      </c>
      <c r="K16" s="19" t="n">
        <f aca="false">-Inputs!$E$20*(1+Inputs!$E$25)^(K$5-1)*1</f>
        <v>-900</v>
      </c>
      <c r="L16" s="19" t="n">
        <f aca="false">-Inputs!$E$20*(1+Inputs!$E$25)^(L$5-1)*1</f>
        <v>-900</v>
      </c>
      <c r="M16" s="19" t="n">
        <f aca="false">-Inputs!$E$20*(1+Inputs!$E$25)^(M$5-1)*1</f>
        <v>-900</v>
      </c>
      <c r="N16" s="19" t="n">
        <f aca="false">-Inputs!$E$20*(1+Inputs!$E$25)^(N$5-1)*1</f>
        <v>-900</v>
      </c>
      <c r="O16" s="19" t="n">
        <f aca="false">-Inputs!$E$20*(1+Inputs!$E$25)^(O$5-1)*1</f>
        <v>-927</v>
      </c>
      <c r="P16" s="19" t="n">
        <f aca="false">-Inputs!$E$20*(1+Inputs!$E$25)^(P$5-1)*1</f>
        <v>-927</v>
      </c>
      <c r="Q16" s="19" t="n">
        <f aca="false">-Inputs!$E$20*(1+Inputs!$E$25)^(Q$5-1)*1</f>
        <v>-927</v>
      </c>
      <c r="R16" s="19" t="n">
        <f aca="false">-Inputs!$E$20*(1+Inputs!$E$25)^(R$5-1)*1</f>
        <v>-927</v>
      </c>
      <c r="S16" s="19" t="n">
        <f aca="false">-Inputs!$E$20*(1+Inputs!$E$25)^(S$5-1)*1</f>
        <v>-927</v>
      </c>
      <c r="T16" s="19" t="n">
        <f aca="false">-Inputs!$E$20*(1+Inputs!$E$25)^(T$5-1)*1</f>
        <v>-927</v>
      </c>
      <c r="U16" s="19" t="n">
        <f aca="false">-Inputs!$E$20*(1+Inputs!$E$25)^(U$5-1)*1</f>
        <v>-927</v>
      </c>
      <c r="V16" s="19" t="n">
        <f aca="false">-Inputs!$E$20*(1+Inputs!$E$25)^(V$5-1)*1</f>
        <v>-927</v>
      </c>
      <c r="W16" s="19" t="n">
        <f aca="false">-Inputs!$E$20*(1+Inputs!$E$25)^(W$5-1)*1</f>
        <v>-927</v>
      </c>
      <c r="X16" s="19" t="n">
        <f aca="false">-Inputs!$E$20*(1+Inputs!$E$25)^(X$5-1)*1</f>
        <v>-927</v>
      </c>
      <c r="Y16" s="19" t="n">
        <f aca="false">-Inputs!$E$20*(1+Inputs!$E$25)^(Y$5-1)*1</f>
        <v>-927</v>
      </c>
      <c r="Z16" s="19" t="n">
        <f aca="false">-Inputs!$E$20*(1+Inputs!$E$25)^(Z$5-1)*1</f>
        <v>-927</v>
      </c>
      <c r="AA16" s="19" t="n">
        <f aca="false">-Inputs!$E$20*(1+Inputs!$E$25)^(AA$5-1)*1</f>
        <v>-954.81</v>
      </c>
      <c r="AB16" s="19" t="n">
        <f aca="false">-Inputs!$E$20*(1+Inputs!$E$25)^(AB$5-1)*1</f>
        <v>-954.81</v>
      </c>
      <c r="AC16" s="19" t="n">
        <f aca="false">-Inputs!$E$20*(1+Inputs!$E$25)^(AC$5-1)*1</f>
        <v>-954.81</v>
      </c>
      <c r="AD16" s="19" t="n">
        <f aca="false">-Inputs!$E$20*(1+Inputs!$E$25)^(AD$5-1)*1</f>
        <v>-954.81</v>
      </c>
      <c r="AE16" s="19" t="n">
        <f aca="false">-Inputs!$E$20*(1+Inputs!$E$25)^(AE$5-1)*1</f>
        <v>-954.81</v>
      </c>
      <c r="AF16" s="19" t="n">
        <f aca="false">-Inputs!$E$20*(1+Inputs!$E$25)^(AF$5-1)*1</f>
        <v>-954.81</v>
      </c>
      <c r="AG16" s="19" t="n">
        <f aca="false">-Inputs!$E$20*(1+Inputs!$E$25)^(AG$5-1)*1</f>
        <v>-954.81</v>
      </c>
      <c r="AH16" s="19" t="n">
        <f aca="false">-Inputs!$E$20*(1+Inputs!$E$25)^(AH$5-1)*1</f>
        <v>-954.81</v>
      </c>
      <c r="AI16" s="19" t="n">
        <f aca="false">-Inputs!$E$20*(1+Inputs!$E$25)^(AI$5-1)*1</f>
        <v>-954.81</v>
      </c>
      <c r="AJ16" s="19" t="n">
        <f aca="false">-Inputs!$E$20*(1+Inputs!$E$25)^(AJ$5-1)*1</f>
        <v>-954.81</v>
      </c>
      <c r="AK16" s="19" t="n">
        <f aca="false">-Inputs!$E$20*(1+Inputs!$E$25)^(AK$5-1)*1</f>
        <v>-954.81</v>
      </c>
      <c r="AL16" s="19" t="n">
        <f aca="false">-Inputs!$E$20*(1+Inputs!$E$25)^(AL$5-1)*1</f>
        <v>-954.81</v>
      </c>
    </row>
    <row r="17" customFormat="false" ht="15" hidden="false" customHeight="false" outlineLevel="0" collapsed="false">
      <c r="A17" s="4" t="s">
        <v>130</v>
      </c>
      <c r="C17" s="15" t="n">
        <f aca="false">C15+C16</f>
        <v>-1869</v>
      </c>
      <c r="D17" s="15" t="n">
        <f aca="false">D15+D16</f>
        <v>-1869</v>
      </c>
      <c r="E17" s="15" t="n">
        <f aca="false">E15+E16</f>
        <v>-1869</v>
      </c>
      <c r="F17" s="15" t="n">
        <f aca="false">F15+F16</f>
        <v>-1869</v>
      </c>
      <c r="G17" s="15" t="n">
        <f aca="false">G15+G16</f>
        <v>-1869</v>
      </c>
      <c r="H17" s="15" t="n">
        <f aca="false">H15+H16</f>
        <v>-1869</v>
      </c>
      <c r="I17" s="15" t="n">
        <f aca="false">I15+I16</f>
        <v>-1869</v>
      </c>
      <c r="J17" s="15" t="n">
        <f aca="false">J15+J16</f>
        <v>-1869</v>
      </c>
      <c r="K17" s="15" t="n">
        <f aca="false">K15+K16</f>
        <v>-1869</v>
      </c>
      <c r="L17" s="15" t="n">
        <f aca="false">L15+L16</f>
        <v>-1869</v>
      </c>
      <c r="M17" s="15" t="n">
        <f aca="false">M15+M16</f>
        <v>-1869</v>
      </c>
      <c r="N17" s="15" t="n">
        <f aca="false">N15+N16</f>
        <v>-1869</v>
      </c>
      <c r="O17" s="15" t="n">
        <f aca="false">O15+O16</f>
        <v>-1925.07</v>
      </c>
      <c r="P17" s="15" t="n">
        <f aca="false">P15+P16</f>
        <v>-1925.07</v>
      </c>
      <c r="Q17" s="15" t="n">
        <f aca="false">Q15+Q16</f>
        <v>-1925.07</v>
      </c>
      <c r="R17" s="15" t="n">
        <f aca="false">R15+R16</f>
        <v>-1925.07</v>
      </c>
      <c r="S17" s="15" t="n">
        <f aca="false">S15+S16</f>
        <v>-1925.07</v>
      </c>
      <c r="T17" s="15" t="n">
        <f aca="false">T15+T16</f>
        <v>-1925.07</v>
      </c>
      <c r="U17" s="15" t="n">
        <f aca="false">U15+U16</f>
        <v>-1925.07</v>
      </c>
      <c r="V17" s="15" t="n">
        <f aca="false">V15+V16</f>
        <v>-1925.07</v>
      </c>
      <c r="W17" s="15" t="n">
        <f aca="false">W15+W16</f>
        <v>-1925.07</v>
      </c>
      <c r="X17" s="15" t="n">
        <f aca="false">X15+X16</f>
        <v>-1925.07</v>
      </c>
      <c r="Y17" s="15" t="n">
        <f aca="false">Y15+Y16</f>
        <v>-1925.07</v>
      </c>
      <c r="Z17" s="15" t="n">
        <f aca="false">Z15+Z16</f>
        <v>-1925.07</v>
      </c>
      <c r="AA17" s="15" t="n">
        <f aca="false">AA15+AA16</f>
        <v>-1982.8221</v>
      </c>
      <c r="AB17" s="15" t="n">
        <f aca="false">AB15+AB16</f>
        <v>-1982.8221</v>
      </c>
      <c r="AC17" s="15" t="n">
        <f aca="false">AC15+AC16</f>
        <v>-1982.8221</v>
      </c>
      <c r="AD17" s="15" t="n">
        <f aca="false">AD15+AD16</f>
        <v>-1982.8221</v>
      </c>
      <c r="AE17" s="15" t="n">
        <f aca="false">AE15+AE16</f>
        <v>-1982.8221</v>
      </c>
      <c r="AF17" s="15" t="n">
        <f aca="false">AF15+AF16</f>
        <v>-1982.8221</v>
      </c>
      <c r="AG17" s="15" t="n">
        <f aca="false">AG15+AG16</f>
        <v>-1982.8221</v>
      </c>
      <c r="AH17" s="15" t="n">
        <f aca="false">AH15+AH16</f>
        <v>-1982.8221</v>
      </c>
      <c r="AI17" s="15" t="n">
        <f aca="false">AI15+AI16</f>
        <v>-1982.8221</v>
      </c>
      <c r="AJ17" s="15" t="n">
        <f aca="false">AJ15+AJ16</f>
        <v>-1982.8221</v>
      </c>
      <c r="AK17" s="15" t="n">
        <f aca="false">AK15+AK16</f>
        <v>-1982.8221</v>
      </c>
      <c r="AL17" s="15" t="n">
        <f aca="false">AL15+AL16</f>
        <v>-1982.8221</v>
      </c>
    </row>
    <row r="18" customFormat="false" ht="15" hidden="false" customHeight="false" outlineLevel="0" collapsed="false">
      <c r="A18" s="4" t="s">
        <v>8</v>
      </c>
      <c r="C18" s="32" t="n">
        <f aca="false">C12+C17</f>
        <v>14518.5</v>
      </c>
      <c r="D18" s="32" t="n">
        <f aca="false">D12+D17</f>
        <v>14518.5</v>
      </c>
      <c r="E18" s="32" t="n">
        <f aca="false">E12+E17</f>
        <v>14518.5</v>
      </c>
      <c r="F18" s="32" t="n">
        <f aca="false">F12+F17</f>
        <v>14518.5</v>
      </c>
      <c r="G18" s="32" t="n">
        <f aca="false">G12+G17</f>
        <v>14518.5</v>
      </c>
      <c r="H18" s="32" t="n">
        <f aca="false">H12+H17</f>
        <v>14518.5</v>
      </c>
      <c r="I18" s="32" t="n">
        <f aca="false">I12+I17</f>
        <v>14518.5</v>
      </c>
      <c r="J18" s="32" t="n">
        <f aca="false">J12+J17</f>
        <v>14518.5</v>
      </c>
      <c r="K18" s="32" t="n">
        <f aca="false">K12+K17</f>
        <v>14518.5</v>
      </c>
      <c r="L18" s="32" t="n">
        <f aca="false">L12+L17</f>
        <v>14518.5</v>
      </c>
      <c r="M18" s="32" t="n">
        <f aca="false">M12+M17</f>
        <v>14518.5</v>
      </c>
      <c r="N18" s="32" t="n">
        <f aca="false">N12+N17</f>
        <v>14518.5</v>
      </c>
      <c r="O18" s="32" t="n">
        <f aca="false">O12+O17</f>
        <v>14954.055</v>
      </c>
      <c r="P18" s="32" t="n">
        <f aca="false">P12+P17</f>
        <v>14954.055</v>
      </c>
      <c r="Q18" s="32" t="n">
        <f aca="false">Q12+Q17</f>
        <v>14954.055</v>
      </c>
      <c r="R18" s="32" t="n">
        <f aca="false">R12+R17</f>
        <v>14954.055</v>
      </c>
      <c r="S18" s="32" t="n">
        <f aca="false">S12+S17</f>
        <v>14954.055</v>
      </c>
      <c r="T18" s="32" t="n">
        <f aca="false">T12+T17</f>
        <v>14954.055</v>
      </c>
      <c r="U18" s="32" t="n">
        <f aca="false">U12+U17</f>
        <v>14954.055</v>
      </c>
      <c r="V18" s="32" t="n">
        <f aca="false">V12+V17</f>
        <v>14954.055</v>
      </c>
      <c r="W18" s="32" t="n">
        <f aca="false">W12+W17</f>
        <v>14954.055</v>
      </c>
      <c r="X18" s="32" t="n">
        <f aca="false">X12+X17</f>
        <v>14954.055</v>
      </c>
      <c r="Y18" s="32" t="n">
        <f aca="false">Y12+Y17</f>
        <v>14954.055</v>
      </c>
      <c r="Z18" s="32" t="n">
        <f aca="false">Z12+Z17</f>
        <v>14954.055</v>
      </c>
      <c r="AA18" s="32" t="n">
        <f aca="false">AA12+AA17</f>
        <v>15402.67665</v>
      </c>
      <c r="AB18" s="32" t="n">
        <f aca="false">AB12+AB17</f>
        <v>15402.67665</v>
      </c>
      <c r="AC18" s="32" t="n">
        <f aca="false">AC12+AC17</f>
        <v>15402.67665</v>
      </c>
      <c r="AD18" s="32" t="n">
        <f aca="false">AD12+AD17</f>
        <v>15402.67665</v>
      </c>
      <c r="AE18" s="32" t="n">
        <f aca="false">AE12+AE17</f>
        <v>15402.67665</v>
      </c>
      <c r="AF18" s="32" t="n">
        <f aca="false">AF12+AF17</f>
        <v>15402.67665</v>
      </c>
      <c r="AG18" s="32" t="n">
        <f aca="false">AG12+AG17</f>
        <v>15402.67665</v>
      </c>
      <c r="AH18" s="32" t="n">
        <f aca="false">AH12+AH17</f>
        <v>15402.67665</v>
      </c>
      <c r="AI18" s="32" t="n">
        <f aca="false">AI12+AI17</f>
        <v>15402.67665</v>
      </c>
      <c r="AJ18" s="32" t="n">
        <f aca="false">AJ12+AJ17</f>
        <v>15402.67665</v>
      </c>
      <c r="AK18" s="32" t="n">
        <f aca="false">AK12+AK17</f>
        <v>15402.67665</v>
      </c>
      <c r="AL18" s="32" t="n">
        <f aca="false">AL12+AL17</f>
        <v>15402.67665</v>
      </c>
    </row>
    <row r="20" customFormat="false" ht="15" hidden="false" customHeight="false" outlineLevel="0" collapsed="false">
      <c r="A20" s="7" t="s">
        <v>133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customFormat="false" ht="15" hidden="false" customHeight="false" outlineLevel="0" collapsed="false">
      <c r="A21" s="11" t="s">
        <v>134</v>
      </c>
      <c r="C21" s="19" t="n">
        <f aca="false">-Inputs!$E$7*Inputs!$E$21/12*(1+Inputs!$E$25)^(C$5-1)*1</f>
        <v>-1695.83333333333</v>
      </c>
      <c r="D21" s="19" t="n">
        <f aca="false">-Inputs!$E$7*Inputs!$E$21/12*(1+Inputs!$E$25)^(D$5-1)*1</f>
        <v>-1695.83333333333</v>
      </c>
      <c r="E21" s="19" t="n">
        <f aca="false">-Inputs!$E$7*Inputs!$E$21/12*(1+Inputs!$E$25)^(E$5-1)*1</f>
        <v>-1695.83333333333</v>
      </c>
      <c r="F21" s="19" t="n">
        <f aca="false">-Inputs!$E$7*Inputs!$E$21/12*(1+Inputs!$E$25)^(F$5-1)*1</f>
        <v>-1695.83333333333</v>
      </c>
      <c r="G21" s="19" t="n">
        <f aca="false">-Inputs!$E$7*Inputs!$E$21/12*(1+Inputs!$E$25)^(G$5-1)*1</f>
        <v>-1695.83333333333</v>
      </c>
      <c r="H21" s="19" t="n">
        <f aca="false">-Inputs!$E$7*Inputs!$E$21/12*(1+Inputs!$E$25)^(H$5-1)*1</f>
        <v>-1695.83333333333</v>
      </c>
      <c r="I21" s="19" t="n">
        <f aca="false">-Inputs!$E$7*Inputs!$E$21/12*(1+Inputs!$E$25)^(I$5-1)*1</f>
        <v>-1695.83333333333</v>
      </c>
      <c r="J21" s="19" t="n">
        <f aca="false">-Inputs!$E$7*Inputs!$E$21/12*(1+Inputs!$E$25)^(J$5-1)*1</f>
        <v>-1695.83333333333</v>
      </c>
      <c r="K21" s="19" t="n">
        <f aca="false">-Inputs!$E$7*Inputs!$E$21/12*(1+Inputs!$E$25)^(K$5-1)*1</f>
        <v>-1695.83333333333</v>
      </c>
      <c r="L21" s="19" t="n">
        <f aca="false">-Inputs!$E$7*Inputs!$E$21/12*(1+Inputs!$E$25)^(L$5-1)*1</f>
        <v>-1695.83333333333</v>
      </c>
      <c r="M21" s="19" t="n">
        <f aca="false">-Inputs!$E$7*Inputs!$E$21/12*(1+Inputs!$E$25)^(M$5-1)*1</f>
        <v>-1695.83333333333</v>
      </c>
      <c r="N21" s="19" t="n">
        <f aca="false">-Inputs!$E$7*Inputs!$E$21/12*(1+Inputs!$E$25)^(N$5-1)*1</f>
        <v>-1695.83333333333</v>
      </c>
      <c r="O21" s="19" t="n">
        <f aca="false">-Inputs!$E$7*Inputs!$E$21/12*(1+Inputs!$E$25)^(O$5-1)*1</f>
        <v>-1746.70833333333</v>
      </c>
      <c r="P21" s="19" t="n">
        <f aca="false">-Inputs!$E$7*Inputs!$E$21/12*(1+Inputs!$E$25)^(P$5-1)*1</f>
        <v>-1746.70833333333</v>
      </c>
      <c r="Q21" s="19" t="n">
        <f aca="false">-Inputs!$E$7*Inputs!$E$21/12*(1+Inputs!$E$25)^(Q$5-1)*1</f>
        <v>-1746.70833333333</v>
      </c>
      <c r="R21" s="19" t="n">
        <f aca="false">-Inputs!$E$7*Inputs!$E$21/12*(1+Inputs!$E$25)^(R$5-1)*1</f>
        <v>-1746.70833333333</v>
      </c>
      <c r="S21" s="19" t="n">
        <f aca="false">-Inputs!$E$7*Inputs!$E$21/12*(1+Inputs!$E$25)^(S$5-1)*1</f>
        <v>-1746.70833333333</v>
      </c>
      <c r="T21" s="19" t="n">
        <f aca="false">-Inputs!$E$7*Inputs!$E$21/12*(1+Inputs!$E$25)^(T$5-1)*1</f>
        <v>-1746.70833333333</v>
      </c>
      <c r="U21" s="19" t="n">
        <f aca="false">-Inputs!$E$7*Inputs!$E$21/12*(1+Inputs!$E$25)^(U$5-1)*1</f>
        <v>-1746.70833333333</v>
      </c>
      <c r="V21" s="19" t="n">
        <f aca="false">-Inputs!$E$7*Inputs!$E$21/12*(1+Inputs!$E$25)^(V$5-1)*1</f>
        <v>-1746.70833333333</v>
      </c>
      <c r="W21" s="19" t="n">
        <f aca="false">-Inputs!$E$7*Inputs!$E$21/12*(1+Inputs!$E$25)^(W$5-1)*1</f>
        <v>-1746.70833333333</v>
      </c>
      <c r="X21" s="19" t="n">
        <f aca="false">-Inputs!$E$7*Inputs!$E$21/12*(1+Inputs!$E$25)^(X$5-1)*1</f>
        <v>-1746.70833333333</v>
      </c>
      <c r="Y21" s="19" t="n">
        <f aca="false">-Inputs!$E$7*Inputs!$E$21/12*(1+Inputs!$E$25)^(Y$5-1)*1</f>
        <v>-1746.70833333333</v>
      </c>
      <c r="Z21" s="19" t="n">
        <f aca="false">-Inputs!$E$7*Inputs!$E$21/12*(1+Inputs!$E$25)^(Z$5-1)*1</f>
        <v>-1746.70833333333</v>
      </c>
      <c r="AA21" s="19" t="n">
        <f aca="false">-Inputs!$E$7*Inputs!$E$21/12*(1+Inputs!$E$25)^(AA$5-1)*1</f>
        <v>-1799.10958333333</v>
      </c>
      <c r="AB21" s="19" t="n">
        <f aca="false">-Inputs!$E$7*Inputs!$E$21/12*(1+Inputs!$E$25)^(AB$5-1)*1</f>
        <v>-1799.10958333333</v>
      </c>
      <c r="AC21" s="19" t="n">
        <f aca="false">-Inputs!$E$7*Inputs!$E$21/12*(1+Inputs!$E$25)^(AC$5-1)*1</f>
        <v>-1799.10958333333</v>
      </c>
      <c r="AD21" s="19" t="n">
        <f aca="false">-Inputs!$E$7*Inputs!$E$21/12*(1+Inputs!$E$25)^(AD$5-1)*1</f>
        <v>-1799.10958333333</v>
      </c>
      <c r="AE21" s="19" t="n">
        <f aca="false">-Inputs!$E$7*Inputs!$E$21/12*(1+Inputs!$E$25)^(AE$5-1)*1</f>
        <v>-1799.10958333333</v>
      </c>
      <c r="AF21" s="19" t="n">
        <f aca="false">-Inputs!$E$7*Inputs!$E$21/12*(1+Inputs!$E$25)^(AF$5-1)*1</f>
        <v>-1799.10958333333</v>
      </c>
      <c r="AG21" s="19" t="n">
        <f aca="false">-Inputs!$E$7*Inputs!$E$21/12*(1+Inputs!$E$25)^(AG$5-1)*1</f>
        <v>-1799.10958333333</v>
      </c>
      <c r="AH21" s="19" t="n">
        <f aca="false">-Inputs!$E$7*Inputs!$E$21/12*(1+Inputs!$E$25)^(AH$5-1)*1</f>
        <v>-1799.10958333333</v>
      </c>
      <c r="AI21" s="19" t="n">
        <f aca="false">-Inputs!$E$7*Inputs!$E$21/12*(1+Inputs!$E$25)^(AI$5-1)*1</f>
        <v>-1799.10958333333</v>
      </c>
      <c r="AJ21" s="19" t="n">
        <f aca="false">-Inputs!$E$7*Inputs!$E$21/12*(1+Inputs!$E$25)^(AJ$5-1)*1</f>
        <v>-1799.10958333333</v>
      </c>
      <c r="AK21" s="19" t="n">
        <f aca="false">-Inputs!$E$7*Inputs!$E$21/12*(1+Inputs!$E$25)^(AK$5-1)*1</f>
        <v>-1799.10958333333</v>
      </c>
      <c r="AL21" s="19" t="n">
        <f aca="false">-Inputs!$E$7*Inputs!$E$21/12*(1+Inputs!$E$25)^(AL$5-1)*1</f>
        <v>-1799.10958333333</v>
      </c>
    </row>
    <row r="22" customFormat="false" ht="15" hidden="false" customHeight="false" outlineLevel="0" collapsed="false">
      <c r="A22" s="11" t="s">
        <v>135</v>
      </c>
      <c r="C22" s="19" t="n">
        <f aca="false">-Inputs!$E$10*Inputs!$E$22/12*(1+Inputs!$E$25)^(C$5-1)*1</f>
        <v>-666.666666666667</v>
      </c>
      <c r="D22" s="19" t="n">
        <f aca="false">-Inputs!$E$10*Inputs!$E$22/12*(1+Inputs!$E$25)^(D$5-1)*1</f>
        <v>-666.666666666667</v>
      </c>
      <c r="E22" s="19" t="n">
        <f aca="false">-Inputs!$E$10*Inputs!$E$22/12*(1+Inputs!$E$25)^(E$5-1)*1</f>
        <v>-666.666666666667</v>
      </c>
      <c r="F22" s="19" t="n">
        <f aca="false">-Inputs!$E$10*Inputs!$E$22/12*(1+Inputs!$E$25)^(F$5-1)*1</f>
        <v>-666.666666666667</v>
      </c>
      <c r="G22" s="19" t="n">
        <f aca="false">-Inputs!$E$10*Inputs!$E$22/12*(1+Inputs!$E$25)^(G$5-1)*1</f>
        <v>-666.666666666667</v>
      </c>
      <c r="H22" s="19" t="n">
        <f aca="false">-Inputs!$E$10*Inputs!$E$22/12*(1+Inputs!$E$25)^(H$5-1)*1</f>
        <v>-666.666666666667</v>
      </c>
      <c r="I22" s="19" t="n">
        <f aca="false">-Inputs!$E$10*Inputs!$E$22/12*(1+Inputs!$E$25)^(I$5-1)*1</f>
        <v>-666.666666666667</v>
      </c>
      <c r="J22" s="19" t="n">
        <f aca="false">-Inputs!$E$10*Inputs!$E$22/12*(1+Inputs!$E$25)^(J$5-1)*1</f>
        <v>-666.666666666667</v>
      </c>
      <c r="K22" s="19" t="n">
        <f aca="false">-Inputs!$E$10*Inputs!$E$22/12*(1+Inputs!$E$25)^(K$5-1)*1</f>
        <v>-666.666666666667</v>
      </c>
      <c r="L22" s="19" t="n">
        <f aca="false">-Inputs!$E$10*Inputs!$E$22/12*(1+Inputs!$E$25)^(L$5-1)*1</f>
        <v>-666.666666666667</v>
      </c>
      <c r="M22" s="19" t="n">
        <f aca="false">-Inputs!$E$10*Inputs!$E$22/12*(1+Inputs!$E$25)^(M$5-1)*1</f>
        <v>-666.666666666667</v>
      </c>
      <c r="N22" s="19" t="n">
        <f aca="false">-Inputs!$E$10*Inputs!$E$22/12*(1+Inputs!$E$25)^(N$5-1)*1</f>
        <v>-666.666666666667</v>
      </c>
      <c r="O22" s="19" t="n">
        <f aca="false">-Inputs!$E$10*Inputs!$E$22/12*(1+Inputs!$E$25)^(O$5-1)*1</f>
        <v>-686.666666666667</v>
      </c>
      <c r="P22" s="19" t="n">
        <f aca="false">-Inputs!$E$10*Inputs!$E$22/12*(1+Inputs!$E$25)^(P$5-1)*1</f>
        <v>-686.666666666667</v>
      </c>
      <c r="Q22" s="19" t="n">
        <f aca="false">-Inputs!$E$10*Inputs!$E$22/12*(1+Inputs!$E$25)^(Q$5-1)*1</f>
        <v>-686.666666666667</v>
      </c>
      <c r="R22" s="19" t="n">
        <f aca="false">-Inputs!$E$10*Inputs!$E$22/12*(1+Inputs!$E$25)^(R$5-1)*1</f>
        <v>-686.666666666667</v>
      </c>
      <c r="S22" s="19" t="n">
        <f aca="false">-Inputs!$E$10*Inputs!$E$22/12*(1+Inputs!$E$25)^(S$5-1)*1</f>
        <v>-686.666666666667</v>
      </c>
      <c r="T22" s="19" t="n">
        <f aca="false">-Inputs!$E$10*Inputs!$E$22/12*(1+Inputs!$E$25)^(T$5-1)*1</f>
        <v>-686.666666666667</v>
      </c>
      <c r="U22" s="19" t="n">
        <f aca="false">-Inputs!$E$10*Inputs!$E$22/12*(1+Inputs!$E$25)^(U$5-1)*1</f>
        <v>-686.666666666667</v>
      </c>
      <c r="V22" s="19" t="n">
        <f aca="false">-Inputs!$E$10*Inputs!$E$22/12*(1+Inputs!$E$25)^(V$5-1)*1</f>
        <v>-686.666666666667</v>
      </c>
      <c r="W22" s="19" t="n">
        <f aca="false">-Inputs!$E$10*Inputs!$E$22/12*(1+Inputs!$E$25)^(W$5-1)*1</f>
        <v>-686.666666666667</v>
      </c>
      <c r="X22" s="19" t="n">
        <f aca="false">-Inputs!$E$10*Inputs!$E$22/12*(1+Inputs!$E$25)^(X$5-1)*1</f>
        <v>-686.666666666667</v>
      </c>
      <c r="Y22" s="19" t="n">
        <f aca="false">-Inputs!$E$10*Inputs!$E$22/12*(1+Inputs!$E$25)^(Y$5-1)*1</f>
        <v>-686.666666666667</v>
      </c>
      <c r="Z22" s="19" t="n">
        <f aca="false">-Inputs!$E$10*Inputs!$E$22/12*(1+Inputs!$E$25)^(Z$5-1)*1</f>
        <v>-686.666666666667</v>
      </c>
      <c r="AA22" s="19" t="n">
        <f aca="false">-Inputs!$E$10*Inputs!$E$22/12*(1+Inputs!$E$25)^(AA$5-1)*1</f>
        <v>-707.266666666667</v>
      </c>
      <c r="AB22" s="19" t="n">
        <f aca="false">-Inputs!$E$10*Inputs!$E$22/12*(1+Inputs!$E$25)^(AB$5-1)*1</f>
        <v>-707.266666666667</v>
      </c>
      <c r="AC22" s="19" t="n">
        <f aca="false">-Inputs!$E$10*Inputs!$E$22/12*(1+Inputs!$E$25)^(AC$5-1)*1</f>
        <v>-707.266666666667</v>
      </c>
      <c r="AD22" s="19" t="n">
        <f aca="false">-Inputs!$E$10*Inputs!$E$22/12*(1+Inputs!$E$25)^(AD$5-1)*1</f>
        <v>-707.266666666667</v>
      </c>
      <c r="AE22" s="19" t="n">
        <f aca="false">-Inputs!$E$10*Inputs!$E$22/12*(1+Inputs!$E$25)^(AE$5-1)*1</f>
        <v>-707.266666666667</v>
      </c>
      <c r="AF22" s="19" t="n">
        <f aca="false">-Inputs!$E$10*Inputs!$E$22/12*(1+Inputs!$E$25)^(AF$5-1)*1</f>
        <v>-707.266666666667</v>
      </c>
      <c r="AG22" s="19" t="n">
        <f aca="false">-Inputs!$E$10*Inputs!$E$22/12*(1+Inputs!$E$25)^(AG$5-1)*1</f>
        <v>-707.266666666667</v>
      </c>
      <c r="AH22" s="19" t="n">
        <f aca="false">-Inputs!$E$10*Inputs!$E$22/12*(1+Inputs!$E$25)^(AH$5-1)*1</f>
        <v>-707.266666666667</v>
      </c>
      <c r="AI22" s="19" t="n">
        <f aca="false">-Inputs!$E$10*Inputs!$E$22/12*(1+Inputs!$E$25)^(AI$5-1)*1</f>
        <v>-707.266666666667</v>
      </c>
      <c r="AJ22" s="19" t="n">
        <f aca="false">-Inputs!$E$10*Inputs!$E$22/12*(1+Inputs!$E$25)^(AJ$5-1)*1</f>
        <v>-707.266666666667</v>
      </c>
      <c r="AK22" s="19" t="n">
        <f aca="false">-Inputs!$E$10*Inputs!$E$22/12*(1+Inputs!$E$25)^(AK$5-1)*1</f>
        <v>-707.266666666667</v>
      </c>
      <c r="AL22" s="19" t="n">
        <f aca="false">-Inputs!$E$10*Inputs!$E$22/12*(1+Inputs!$E$25)^(AL$5-1)*1</f>
        <v>-707.266666666667</v>
      </c>
    </row>
    <row r="23" customFormat="false" ht="15" hidden="false" customHeight="false" outlineLevel="0" collapsed="false">
      <c r="A23" s="11" t="s">
        <v>136</v>
      </c>
      <c r="C23" s="19" t="n">
        <f aca="false">-C12*Inputs!$E$23</f>
        <v>-1311</v>
      </c>
      <c r="D23" s="19" t="n">
        <f aca="false">-D12*Inputs!$E$23</f>
        <v>-1311</v>
      </c>
      <c r="E23" s="19" t="n">
        <f aca="false">-E12*Inputs!$E$23</f>
        <v>-1311</v>
      </c>
      <c r="F23" s="19" t="n">
        <f aca="false">-F12*Inputs!$E$23</f>
        <v>-1311</v>
      </c>
      <c r="G23" s="19" t="n">
        <f aca="false">-G12*Inputs!$E$23</f>
        <v>-1311</v>
      </c>
      <c r="H23" s="19" t="n">
        <f aca="false">-H12*Inputs!$E$23</f>
        <v>-1311</v>
      </c>
      <c r="I23" s="19" t="n">
        <f aca="false">-I12*Inputs!$E$23</f>
        <v>-1311</v>
      </c>
      <c r="J23" s="19" t="n">
        <f aca="false">-J12*Inputs!$E$23</f>
        <v>-1311</v>
      </c>
      <c r="K23" s="19" t="n">
        <f aca="false">-K12*Inputs!$E$23</f>
        <v>-1311</v>
      </c>
      <c r="L23" s="19" t="n">
        <f aca="false">-L12*Inputs!$E$23</f>
        <v>-1311</v>
      </c>
      <c r="M23" s="19" t="n">
        <f aca="false">-M12*Inputs!$E$23</f>
        <v>-1311</v>
      </c>
      <c r="N23" s="19" t="n">
        <f aca="false">-N12*Inputs!$E$23</f>
        <v>-1311</v>
      </c>
      <c r="O23" s="19" t="n">
        <f aca="false">-O12*Inputs!$E$23</f>
        <v>-1350.33</v>
      </c>
      <c r="P23" s="19" t="n">
        <f aca="false">-P12*Inputs!$E$23</f>
        <v>-1350.33</v>
      </c>
      <c r="Q23" s="19" t="n">
        <f aca="false">-Q12*Inputs!$E$23</f>
        <v>-1350.33</v>
      </c>
      <c r="R23" s="19" t="n">
        <f aca="false">-R12*Inputs!$E$23</f>
        <v>-1350.33</v>
      </c>
      <c r="S23" s="19" t="n">
        <f aca="false">-S12*Inputs!$E$23</f>
        <v>-1350.33</v>
      </c>
      <c r="T23" s="19" t="n">
        <f aca="false">-T12*Inputs!$E$23</f>
        <v>-1350.33</v>
      </c>
      <c r="U23" s="19" t="n">
        <f aca="false">-U12*Inputs!$E$23</f>
        <v>-1350.33</v>
      </c>
      <c r="V23" s="19" t="n">
        <f aca="false">-V12*Inputs!$E$23</f>
        <v>-1350.33</v>
      </c>
      <c r="W23" s="19" t="n">
        <f aca="false">-W12*Inputs!$E$23</f>
        <v>-1350.33</v>
      </c>
      <c r="X23" s="19" t="n">
        <f aca="false">-X12*Inputs!$E$23</f>
        <v>-1350.33</v>
      </c>
      <c r="Y23" s="19" t="n">
        <f aca="false">-Y12*Inputs!$E$23</f>
        <v>-1350.33</v>
      </c>
      <c r="Z23" s="19" t="n">
        <f aca="false">-Z12*Inputs!$E$23</f>
        <v>-1350.33</v>
      </c>
      <c r="AA23" s="19" t="n">
        <f aca="false">-AA12*Inputs!$E$23</f>
        <v>-1390.8399</v>
      </c>
      <c r="AB23" s="19" t="n">
        <f aca="false">-AB12*Inputs!$E$23</f>
        <v>-1390.8399</v>
      </c>
      <c r="AC23" s="19" t="n">
        <f aca="false">-AC12*Inputs!$E$23</f>
        <v>-1390.8399</v>
      </c>
      <c r="AD23" s="19" t="n">
        <f aca="false">-AD12*Inputs!$E$23</f>
        <v>-1390.8399</v>
      </c>
      <c r="AE23" s="19" t="n">
        <f aca="false">-AE12*Inputs!$E$23</f>
        <v>-1390.8399</v>
      </c>
      <c r="AF23" s="19" t="n">
        <f aca="false">-AF12*Inputs!$E$23</f>
        <v>-1390.8399</v>
      </c>
      <c r="AG23" s="19" t="n">
        <f aca="false">-AG12*Inputs!$E$23</f>
        <v>-1390.8399</v>
      </c>
      <c r="AH23" s="19" t="n">
        <f aca="false">-AH12*Inputs!$E$23</f>
        <v>-1390.8399</v>
      </c>
      <c r="AI23" s="19" t="n">
        <f aca="false">-AI12*Inputs!$E$23</f>
        <v>-1390.8399</v>
      </c>
      <c r="AJ23" s="19" t="n">
        <f aca="false">-AJ12*Inputs!$E$23</f>
        <v>-1390.8399</v>
      </c>
      <c r="AK23" s="19" t="n">
        <f aca="false">-AK12*Inputs!$E$23</f>
        <v>-1390.8399</v>
      </c>
      <c r="AL23" s="19" t="n">
        <f aca="false">-AL12*Inputs!$E$23</f>
        <v>-1390.8399</v>
      </c>
    </row>
    <row r="24" customFormat="false" ht="15" hidden="false" customHeight="false" outlineLevel="0" collapsed="false">
      <c r="A24" s="11" t="s">
        <v>137</v>
      </c>
      <c r="C24" s="19" t="n">
        <f aca="false">-Inputs!$E$24*(1+Inputs!$E$25)^(C$5-1)*1</f>
        <v>-400</v>
      </c>
      <c r="D24" s="19" t="n">
        <f aca="false">-Inputs!$E$24*(1+Inputs!$E$25)^(D$5-1)*1</f>
        <v>-400</v>
      </c>
      <c r="E24" s="19" t="n">
        <f aca="false">-Inputs!$E$24*(1+Inputs!$E$25)^(E$5-1)*1</f>
        <v>-400</v>
      </c>
      <c r="F24" s="19" t="n">
        <f aca="false">-Inputs!$E$24*(1+Inputs!$E$25)^(F$5-1)*1</f>
        <v>-400</v>
      </c>
      <c r="G24" s="19" t="n">
        <f aca="false">-Inputs!$E$24*(1+Inputs!$E$25)^(G$5-1)*1</f>
        <v>-400</v>
      </c>
      <c r="H24" s="19" t="n">
        <f aca="false">-Inputs!$E$24*(1+Inputs!$E$25)^(H$5-1)*1</f>
        <v>-400</v>
      </c>
      <c r="I24" s="19" t="n">
        <f aca="false">-Inputs!$E$24*(1+Inputs!$E$25)^(I$5-1)*1</f>
        <v>-400</v>
      </c>
      <c r="J24" s="19" t="n">
        <f aca="false">-Inputs!$E$24*(1+Inputs!$E$25)^(J$5-1)*1</f>
        <v>-400</v>
      </c>
      <c r="K24" s="19" t="n">
        <f aca="false">-Inputs!$E$24*(1+Inputs!$E$25)^(K$5-1)*1</f>
        <v>-400</v>
      </c>
      <c r="L24" s="19" t="n">
        <f aca="false">-Inputs!$E$24*(1+Inputs!$E$25)^(L$5-1)*1</f>
        <v>-400</v>
      </c>
      <c r="M24" s="19" t="n">
        <f aca="false">-Inputs!$E$24*(1+Inputs!$E$25)^(M$5-1)*1</f>
        <v>-400</v>
      </c>
      <c r="N24" s="19" t="n">
        <f aca="false">-Inputs!$E$24*(1+Inputs!$E$25)^(N$5-1)*1</f>
        <v>-400</v>
      </c>
      <c r="O24" s="19" t="n">
        <f aca="false">-Inputs!$E$24*(1+Inputs!$E$25)^(O$5-1)*1</f>
        <v>-412</v>
      </c>
      <c r="P24" s="19" t="n">
        <f aca="false">-Inputs!$E$24*(1+Inputs!$E$25)^(P$5-1)*1</f>
        <v>-412</v>
      </c>
      <c r="Q24" s="19" t="n">
        <f aca="false">-Inputs!$E$24*(1+Inputs!$E$25)^(Q$5-1)*1</f>
        <v>-412</v>
      </c>
      <c r="R24" s="19" t="n">
        <f aca="false">-Inputs!$E$24*(1+Inputs!$E$25)^(R$5-1)*1</f>
        <v>-412</v>
      </c>
      <c r="S24" s="19" t="n">
        <f aca="false">-Inputs!$E$24*(1+Inputs!$E$25)^(S$5-1)*1</f>
        <v>-412</v>
      </c>
      <c r="T24" s="19" t="n">
        <f aca="false">-Inputs!$E$24*(1+Inputs!$E$25)^(T$5-1)*1</f>
        <v>-412</v>
      </c>
      <c r="U24" s="19" t="n">
        <f aca="false">-Inputs!$E$24*(1+Inputs!$E$25)^(U$5-1)*1</f>
        <v>-412</v>
      </c>
      <c r="V24" s="19" t="n">
        <f aca="false">-Inputs!$E$24*(1+Inputs!$E$25)^(V$5-1)*1</f>
        <v>-412</v>
      </c>
      <c r="W24" s="19" t="n">
        <f aca="false">-Inputs!$E$24*(1+Inputs!$E$25)^(W$5-1)*1</f>
        <v>-412</v>
      </c>
      <c r="X24" s="19" t="n">
        <f aca="false">-Inputs!$E$24*(1+Inputs!$E$25)^(X$5-1)*1</f>
        <v>-412</v>
      </c>
      <c r="Y24" s="19" t="n">
        <f aca="false">-Inputs!$E$24*(1+Inputs!$E$25)^(Y$5-1)*1</f>
        <v>-412</v>
      </c>
      <c r="Z24" s="19" t="n">
        <f aca="false">-Inputs!$E$24*(1+Inputs!$E$25)^(Z$5-1)*1</f>
        <v>-412</v>
      </c>
      <c r="AA24" s="19" t="n">
        <f aca="false">-Inputs!$E$24*(1+Inputs!$E$25)^(AA$5-1)*1</f>
        <v>-424.36</v>
      </c>
      <c r="AB24" s="19" t="n">
        <f aca="false">-Inputs!$E$24*(1+Inputs!$E$25)^(AB$5-1)*1</f>
        <v>-424.36</v>
      </c>
      <c r="AC24" s="19" t="n">
        <f aca="false">-Inputs!$E$24*(1+Inputs!$E$25)^(AC$5-1)*1</f>
        <v>-424.36</v>
      </c>
      <c r="AD24" s="19" t="n">
        <f aca="false">-Inputs!$E$24*(1+Inputs!$E$25)^(AD$5-1)*1</f>
        <v>-424.36</v>
      </c>
      <c r="AE24" s="19" t="n">
        <f aca="false">-Inputs!$E$24*(1+Inputs!$E$25)^(AE$5-1)*1</f>
        <v>-424.36</v>
      </c>
      <c r="AF24" s="19" t="n">
        <f aca="false">-Inputs!$E$24*(1+Inputs!$E$25)^(AF$5-1)*1</f>
        <v>-424.36</v>
      </c>
      <c r="AG24" s="19" t="n">
        <f aca="false">-Inputs!$E$24*(1+Inputs!$E$25)^(AG$5-1)*1</f>
        <v>-424.36</v>
      </c>
      <c r="AH24" s="19" t="n">
        <f aca="false">-Inputs!$E$24*(1+Inputs!$E$25)^(AH$5-1)*1</f>
        <v>-424.36</v>
      </c>
      <c r="AI24" s="19" t="n">
        <f aca="false">-Inputs!$E$24*(1+Inputs!$E$25)^(AI$5-1)*1</f>
        <v>-424.36</v>
      </c>
      <c r="AJ24" s="19" t="n">
        <f aca="false">-Inputs!$E$24*(1+Inputs!$E$25)^(AJ$5-1)*1</f>
        <v>-424.36</v>
      </c>
      <c r="AK24" s="19" t="n">
        <f aca="false">-Inputs!$E$24*(1+Inputs!$E$25)^(AK$5-1)*1</f>
        <v>-424.36</v>
      </c>
      <c r="AL24" s="19" t="n">
        <f aca="false">-Inputs!$E$24*(1+Inputs!$E$25)^(AL$5-1)*1</f>
        <v>-424.36</v>
      </c>
    </row>
    <row r="25" customFormat="false" ht="15" hidden="false" customHeight="false" outlineLevel="0" collapsed="false">
      <c r="A25" s="4" t="s">
        <v>138</v>
      </c>
      <c r="C25" s="32" t="n">
        <f aca="false">C21+C22+C23+C24</f>
        <v>-4073.5</v>
      </c>
      <c r="D25" s="32" t="n">
        <f aca="false">D21+D22+D23+D24</f>
        <v>-4073.5</v>
      </c>
      <c r="E25" s="32" t="n">
        <f aca="false">E21+E22+E23+E24</f>
        <v>-4073.5</v>
      </c>
      <c r="F25" s="32" t="n">
        <f aca="false">F21+F22+F23+F24</f>
        <v>-4073.5</v>
      </c>
      <c r="G25" s="32" t="n">
        <f aca="false">G21+G22+G23+G24</f>
        <v>-4073.5</v>
      </c>
      <c r="H25" s="32" t="n">
        <f aca="false">H21+H22+H23+H24</f>
        <v>-4073.5</v>
      </c>
      <c r="I25" s="32" t="n">
        <f aca="false">I21+I22+I23+I24</f>
        <v>-4073.5</v>
      </c>
      <c r="J25" s="32" t="n">
        <f aca="false">J21+J22+J23+J24</f>
        <v>-4073.5</v>
      </c>
      <c r="K25" s="32" t="n">
        <f aca="false">K21+K22+K23+K24</f>
        <v>-4073.5</v>
      </c>
      <c r="L25" s="32" t="n">
        <f aca="false">L21+L22+L23+L24</f>
        <v>-4073.5</v>
      </c>
      <c r="M25" s="32" t="n">
        <f aca="false">M21+M22+M23+M24</f>
        <v>-4073.5</v>
      </c>
      <c r="N25" s="32" t="n">
        <f aca="false">N21+N22+N23+N24</f>
        <v>-4073.5</v>
      </c>
      <c r="O25" s="32" t="n">
        <f aca="false">O21+O22+O23+O24</f>
        <v>-4195.705</v>
      </c>
      <c r="P25" s="32" t="n">
        <f aca="false">P21+P22+P23+P24</f>
        <v>-4195.705</v>
      </c>
      <c r="Q25" s="32" t="n">
        <f aca="false">Q21+Q22+Q23+Q24</f>
        <v>-4195.705</v>
      </c>
      <c r="R25" s="32" t="n">
        <f aca="false">R21+R22+R23+R24</f>
        <v>-4195.705</v>
      </c>
      <c r="S25" s="32" t="n">
        <f aca="false">S21+S22+S23+S24</f>
        <v>-4195.705</v>
      </c>
      <c r="T25" s="32" t="n">
        <f aca="false">T21+T22+T23+T24</f>
        <v>-4195.705</v>
      </c>
      <c r="U25" s="32" t="n">
        <f aca="false">U21+U22+U23+U24</f>
        <v>-4195.705</v>
      </c>
      <c r="V25" s="32" t="n">
        <f aca="false">V21+V22+V23+V24</f>
        <v>-4195.705</v>
      </c>
      <c r="W25" s="32" t="n">
        <f aca="false">W21+W22+W23+W24</f>
        <v>-4195.705</v>
      </c>
      <c r="X25" s="32" t="n">
        <f aca="false">X21+X22+X23+X24</f>
        <v>-4195.705</v>
      </c>
      <c r="Y25" s="32" t="n">
        <f aca="false">Y21+Y22+Y23+Y24</f>
        <v>-4195.705</v>
      </c>
      <c r="Z25" s="32" t="n">
        <f aca="false">Z21+Z22+Z23+Z24</f>
        <v>-4195.705</v>
      </c>
      <c r="AA25" s="32" t="n">
        <f aca="false">AA21+AA22+AA23+AA24</f>
        <v>-4321.57615</v>
      </c>
      <c r="AB25" s="32" t="n">
        <f aca="false">AB21+AB22+AB23+AB24</f>
        <v>-4321.57615</v>
      </c>
      <c r="AC25" s="32" t="n">
        <f aca="false">AC21+AC22+AC23+AC24</f>
        <v>-4321.57615</v>
      </c>
      <c r="AD25" s="32" t="n">
        <f aca="false">AD21+AD22+AD23+AD24</f>
        <v>-4321.57615</v>
      </c>
      <c r="AE25" s="32" t="n">
        <f aca="false">AE21+AE22+AE23+AE24</f>
        <v>-4321.57615</v>
      </c>
      <c r="AF25" s="32" t="n">
        <f aca="false">AF21+AF22+AF23+AF24</f>
        <v>-4321.57615</v>
      </c>
      <c r="AG25" s="32" t="n">
        <f aca="false">AG21+AG22+AG23+AG24</f>
        <v>-4321.57615</v>
      </c>
      <c r="AH25" s="32" t="n">
        <f aca="false">AH21+AH22+AH23+AH24</f>
        <v>-4321.57615</v>
      </c>
      <c r="AI25" s="32" t="n">
        <f aca="false">AI21+AI22+AI23+AI24</f>
        <v>-4321.57615</v>
      </c>
      <c r="AJ25" s="32" t="n">
        <f aca="false">AJ21+AJ22+AJ23+AJ24</f>
        <v>-4321.57615</v>
      </c>
      <c r="AK25" s="32" t="n">
        <f aca="false">AK21+AK22+AK23+AK24</f>
        <v>-4321.57615</v>
      </c>
      <c r="AL25" s="32" t="n">
        <f aca="false">AL21+AL22+AL23+AL24</f>
        <v>-4321.57615</v>
      </c>
    </row>
    <row r="26" customFormat="false" ht="15" hidden="false" customHeight="false" outlineLevel="0" collapsed="false">
      <c r="A26" s="4" t="s">
        <v>9</v>
      </c>
      <c r="C26" s="32" t="n">
        <f aca="false">C18+C25</f>
        <v>10445</v>
      </c>
      <c r="D26" s="32" t="n">
        <f aca="false">D18+D25</f>
        <v>10445</v>
      </c>
      <c r="E26" s="32" t="n">
        <f aca="false">E18+E25</f>
        <v>10445</v>
      </c>
      <c r="F26" s="32" t="n">
        <f aca="false">F18+F25</f>
        <v>10445</v>
      </c>
      <c r="G26" s="32" t="n">
        <f aca="false">G18+G25</f>
        <v>10445</v>
      </c>
      <c r="H26" s="32" t="n">
        <f aca="false">H18+H25</f>
        <v>10445</v>
      </c>
      <c r="I26" s="32" t="n">
        <f aca="false">I18+I25</f>
        <v>10445</v>
      </c>
      <c r="J26" s="32" t="n">
        <f aca="false">J18+J25</f>
        <v>10445</v>
      </c>
      <c r="K26" s="32" t="n">
        <f aca="false">K18+K25</f>
        <v>10445</v>
      </c>
      <c r="L26" s="32" t="n">
        <f aca="false">L18+L25</f>
        <v>10445</v>
      </c>
      <c r="M26" s="32" t="n">
        <f aca="false">M18+M25</f>
        <v>10445</v>
      </c>
      <c r="N26" s="32" t="n">
        <f aca="false">N18+N25</f>
        <v>10445</v>
      </c>
      <c r="O26" s="32" t="n">
        <f aca="false">O18+O25</f>
        <v>10758.35</v>
      </c>
      <c r="P26" s="32" t="n">
        <f aca="false">P18+P25</f>
        <v>10758.35</v>
      </c>
      <c r="Q26" s="32" t="n">
        <f aca="false">Q18+Q25</f>
        <v>10758.35</v>
      </c>
      <c r="R26" s="32" t="n">
        <f aca="false">R18+R25</f>
        <v>10758.35</v>
      </c>
      <c r="S26" s="32" t="n">
        <f aca="false">S18+S25</f>
        <v>10758.35</v>
      </c>
      <c r="T26" s="32" t="n">
        <f aca="false">T18+T25</f>
        <v>10758.35</v>
      </c>
      <c r="U26" s="32" t="n">
        <f aca="false">U18+U25</f>
        <v>10758.35</v>
      </c>
      <c r="V26" s="32" t="n">
        <f aca="false">V18+V25</f>
        <v>10758.35</v>
      </c>
      <c r="W26" s="32" t="n">
        <f aca="false">W18+W25</f>
        <v>10758.35</v>
      </c>
      <c r="X26" s="32" t="n">
        <f aca="false">X18+X25</f>
        <v>10758.35</v>
      </c>
      <c r="Y26" s="32" t="n">
        <f aca="false">Y18+Y25</f>
        <v>10758.35</v>
      </c>
      <c r="Z26" s="32" t="n">
        <f aca="false">Z18+Z25</f>
        <v>10758.35</v>
      </c>
      <c r="AA26" s="32" t="n">
        <f aca="false">AA18+AA25</f>
        <v>11081.1005</v>
      </c>
      <c r="AB26" s="32" t="n">
        <f aca="false">AB18+AB25</f>
        <v>11081.1005</v>
      </c>
      <c r="AC26" s="32" t="n">
        <f aca="false">AC18+AC25</f>
        <v>11081.1005</v>
      </c>
      <c r="AD26" s="32" t="n">
        <f aca="false">AD18+AD25</f>
        <v>11081.1005</v>
      </c>
      <c r="AE26" s="32" t="n">
        <f aca="false">AE18+AE25</f>
        <v>11081.1005</v>
      </c>
      <c r="AF26" s="32" t="n">
        <f aca="false">AF18+AF25</f>
        <v>11081.1005</v>
      </c>
      <c r="AG26" s="32" t="n">
        <f aca="false">AG18+AG25</f>
        <v>11081.1005</v>
      </c>
      <c r="AH26" s="32" t="n">
        <f aca="false">AH18+AH25</f>
        <v>11081.1005</v>
      </c>
      <c r="AI26" s="32" t="n">
        <f aca="false">AI18+AI25</f>
        <v>11081.1005</v>
      </c>
      <c r="AJ26" s="32" t="n">
        <f aca="false">AJ18+AJ25</f>
        <v>11081.1005</v>
      </c>
      <c r="AK26" s="32" t="n">
        <f aca="false">AK18+AK25</f>
        <v>11081.1005</v>
      </c>
      <c r="AL26" s="32" t="n">
        <f aca="false">AL18+AL25</f>
        <v>11081.1005</v>
      </c>
    </row>
    <row r="28" customFormat="false" ht="15" hidden="false" customHeight="false" outlineLevel="0" collapsed="false">
      <c r="A28" s="7" t="s">
        <v>139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 customFormat="false" ht="15" hidden="false" customHeight="false" outlineLevel="0" collapsed="false">
      <c r="A29" s="4" t="s">
        <v>140</v>
      </c>
      <c r="C29" s="15" t="n">
        <f aca="false">C26+C44</f>
        <v>5704.90226337449</v>
      </c>
      <c r="D29" s="15" t="n">
        <f aca="false">D26+D44</f>
        <v>5704.00205761317</v>
      </c>
      <c r="E29" s="15" t="n">
        <f aca="false">E26+E44</f>
        <v>5703.10185185185</v>
      </c>
      <c r="F29" s="15" t="n">
        <f aca="false">F26+F44</f>
        <v>5702.20164609053</v>
      </c>
      <c r="G29" s="15" t="n">
        <f aca="false">G26+G44</f>
        <v>5701.30144032922</v>
      </c>
      <c r="H29" s="15" t="n">
        <f aca="false">H26+H44</f>
        <v>5700.4012345679</v>
      </c>
      <c r="I29" s="15" t="n">
        <f aca="false">I26+I44</f>
        <v>5699.50102880658</v>
      </c>
      <c r="J29" s="15" t="n">
        <f aca="false">J26+J44</f>
        <v>5698.60082304527</v>
      </c>
      <c r="K29" s="15" t="n">
        <f aca="false">K26+K44</f>
        <v>5697.70061728395</v>
      </c>
      <c r="L29" s="15" t="n">
        <f aca="false">L26+L44</f>
        <v>5696.80041152263</v>
      </c>
      <c r="M29" s="15" t="n">
        <f aca="false">M26+M44</f>
        <v>5695.90020576131</v>
      </c>
      <c r="N29" s="15" t="n">
        <f aca="false">N26+N44</f>
        <v>5695</v>
      </c>
      <c r="O29" s="15" t="n">
        <f aca="false">O26+O44</f>
        <v>6007.42278806584</v>
      </c>
      <c r="P29" s="15" t="n">
        <f aca="false">P26+P44</f>
        <v>6006.49557613168</v>
      </c>
      <c r="Q29" s="15" t="n">
        <f aca="false">Q26+Q44</f>
        <v>6005.56836419753</v>
      </c>
      <c r="R29" s="15" t="n">
        <f aca="false">R26+R44</f>
        <v>6004.64115226337</v>
      </c>
      <c r="S29" s="15" t="n">
        <f aca="false">S26+S44</f>
        <v>6003.71394032921</v>
      </c>
      <c r="T29" s="15" t="n">
        <f aca="false">T26+T44</f>
        <v>6002.78672839506</v>
      </c>
      <c r="U29" s="15" t="n">
        <f aca="false">U26+U44</f>
        <v>6001.8595164609</v>
      </c>
      <c r="V29" s="15" t="n">
        <f aca="false">V26+V44</f>
        <v>6000.93230452675</v>
      </c>
      <c r="W29" s="15" t="n">
        <f aca="false">W26+W44</f>
        <v>6000.00509259259</v>
      </c>
      <c r="X29" s="15" t="n">
        <f aca="false">X26+X44</f>
        <v>5999.07788065843</v>
      </c>
      <c r="Y29" s="15" t="n">
        <f aca="false">Y26+Y44</f>
        <v>5998.15066872427</v>
      </c>
      <c r="Z29" s="15" t="n">
        <f aca="false">Z26+Z44</f>
        <v>5997.22345679012</v>
      </c>
      <c r="AA29" s="15" t="n">
        <f aca="false">AA26+AA44</f>
        <v>6319.01892849794</v>
      </c>
      <c r="AB29" s="15" t="n">
        <f aca="false">AB26+AB44</f>
        <v>6318.06390020576</v>
      </c>
      <c r="AC29" s="15" t="n">
        <f aca="false">AC26+AC44</f>
        <v>6317.10887191358</v>
      </c>
      <c r="AD29" s="15" t="n">
        <f aca="false">AD26+AD44</f>
        <v>6316.15384362139</v>
      </c>
      <c r="AE29" s="15" t="n">
        <f aca="false">AE26+AE44</f>
        <v>6315.19881532921</v>
      </c>
      <c r="AF29" s="15" t="n">
        <f aca="false">AF26+AF44</f>
        <v>6314.24378703703</v>
      </c>
      <c r="AG29" s="15" t="n">
        <f aca="false">AG26+AG44</f>
        <v>6313.28875874485</v>
      </c>
      <c r="AH29" s="15" t="n">
        <f aca="false">AH26+AH44</f>
        <v>6312.33373045267</v>
      </c>
      <c r="AI29" s="15" t="n">
        <f aca="false">AI26+AI44</f>
        <v>6311.37870216049</v>
      </c>
      <c r="AJ29" s="15" t="n">
        <f aca="false">AJ26+AJ44</f>
        <v>6310.42367386831</v>
      </c>
      <c r="AK29" s="15" t="n">
        <f aca="false">AK26+AK44</f>
        <v>6309.46864557613</v>
      </c>
      <c r="AL29" s="15" t="n">
        <f aca="false">AL26+AL44</f>
        <v>6308.51361728394</v>
      </c>
    </row>
    <row r="30" customFormat="false" ht="15" hidden="false" customHeight="false" outlineLevel="0" collapsed="false">
      <c r="A30" s="11" t="s">
        <v>141</v>
      </c>
      <c r="C30" s="19" t="n">
        <f aca="false">-(C49+C50)*Inputs!$E$36/12</f>
        <v>-6500</v>
      </c>
      <c r="D30" s="19" t="n">
        <f aca="false">-(D49+D50)*Inputs!$E$36/12</f>
        <v>-6494.12391180629</v>
      </c>
      <c r="E30" s="19" t="n">
        <f aca="false">-(E49+E50)*Inputs!$E$36/12</f>
        <v>-6488.21599480153</v>
      </c>
      <c r="F30" s="19" t="n">
        <f aca="false">-(F49+F50)*Inputs!$E$36/12</f>
        <v>-6482.27607657966</v>
      </c>
      <c r="G30" s="19" t="n">
        <f aca="false">-(G49+G50)*Inputs!$E$36/12</f>
        <v>-6476.30398380076</v>
      </c>
      <c r="H30" s="19" t="n">
        <f aca="false">-(H49+H50)*Inputs!$E$36/12</f>
        <v>-6470.29954218597</v>
      </c>
      <c r="I30" s="19" t="n">
        <f aca="false">-(I49+I50)*Inputs!$E$36/12</f>
        <v>-6464.26257651244</v>
      </c>
      <c r="J30" s="19" t="n">
        <f aca="false">-(J49+J50)*Inputs!$E$36/12</f>
        <v>-6458.19291060817</v>
      </c>
      <c r="K30" s="19" t="n">
        <f aca="false">-(K49+K50)*Inputs!$E$36/12</f>
        <v>-6452.09036734692</v>
      </c>
      <c r="L30" s="19" t="n">
        <f aca="false">-(L49+L50)*Inputs!$E$36/12</f>
        <v>-6445.95476864301</v>
      </c>
      <c r="M30" s="19" t="n">
        <f aca="false">-(M49+M50)*Inputs!$E$36/12</f>
        <v>-6439.78593544611</v>
      </c>
      <c r="N30" s="19" t="n">
        <f aca="false">-(N49+N50)*Inputs!$E$36/12</f>
        <v>-6433.58368773607</v>
      </c>
      <c r="O30" s="19" t="n">
        <f aca="false">-(O49+O50)*Inputs!$E$36/12</f>
        <v>-6427.3478445176</v>
      </c>
      <c r="P30" s="19" t="n">
        <f aca="false">-(P49+P50)*Inputs!$E$36/12</f>
        <v>-6421.07822381503</v>
      </c>
      <c r="Q30" s="19" t="n">
        <f aca="false">-(Q49+Q50)*Inputs!$E$36/12</f>
        <v>-6414.77464266698</v>
      </c>
      <c r="R30" s="19" t="n">
        <f aca="false">-(R49+R50)*Inputs!$E$36/12</f>
        <v>-6408.43691712105</v>
      </c>
      <c r="S30" s="19" t="n">
        <f aca="false">-(S49+S50)*Inputs!$E$36/12</f>
        <v>-6402.06486222842</v>
      </c>
      <c r="T30" s="19" t="n">
        <f aca="false">-(T49+T50)*Inputs!$E$36/12</f>
        <v>-6395.65829203844</v>
      </c>
      <c r="U30" s="19" t="n">
        <f aca="false">-(U49+U50)*Inputs!$E$36/12</f>
        <v>-6389.21701959328</v>
      </c>
      <c r="V30" s="19" t="n">
        <f aca="false">-(V49+V50)*Inputs!$E$36/12</f>
        <v>-6382.74085692237</v>
      </c>
      <c r="W30" s="19" t="n">
        <f aca="false">-(W49+W50)*Inputs!$E$36/12</f>
        <v>-6376.22961503699</v>
      </c>
      <c r="X30" s="19" t="n">
        <f aca="false">-(X49+X50)*Inputs!$E$36/12</f>
        <v>-6369.68310392473</v>
      </c>
      <c r="Y30" s="19" t="n">
        <f aca="false">-(Y49+Y50)*Inputs!$E$36/12</f>
        <v>-6363.10113254394</v>
      </c>
      <c r="Z30" s="19" t="n">
        <f aca="false">-(Z49+Z50)*Inputs!$E$36/12</f>
        <v>-6356.48350881818</v>
      </c>
      <c r="AA30" s="19" t="n">
        <f aca="false">-(AA49+AA50)*Inputs!$E$36/12</f>
        <v>-6349.83003963057</v>
      </c>
      <c r="AB30" s="19" t="n">
        <f aca="false">-(AB49+AB50)*Inputs!$E$36/12</f>
        <v>-6343.14053081819</v>
      </c>
      <c r="AC30" s="19" t="n">
        <f aca="false">-(AC49+AC50)*Inputs!$E$36/12</f>
        <v>-6336.41478716641</v>
      </c>
      <c r="AD30" s="19" t="n">
        <f aca="false">-(AD49+AD50)*Inputs!$E$36/12</f>
        <v>-6329.65261240319</v>
      </c>
      <c r="AE30" s="19" t="n">
        <f aca="false">-(AE49+AE50)*Inputs!$E$36/12</f>
        <v>-6322.85380919333</v>
      </c>
      <c r="AF30" s="19" t="n">
        <f aca="false">-(AF49+AF50)*Inputs!$E$36/12</f>
        <v>-6316.01817913275</v>
      </c>
      <c r="AG30" s="19" t="n">
        <f aca="false">-(AG49+AG50)*Inputs!$E$36/12</f>
        <v>-6309.14552274268</v>
      </c>
      <c r="AH30" s="19" t="n">
        <f aca="false">-(AH49+AH50)*Inputs!$E$36/12</f>
        <v>-6302.23563946383</v>
      </c>
      <c r="AI30" s="19" t="n">
        <f aca="false">-(AI49+AI50)*Inputs!$E$36/12</f>
        <v>-6295.28832765055</v>
      </c>
      <c r="AJ30" s="19" t="n">
        <f aca="false">-(AJ49+AJ50)*Inputs!$E$36/12</f>
        <v>-6288.30338456494</v>
      </c>
      <c r="AK30" s="19" t="n">
        <f aca="false">-(AK49+AK50)*Inputs!$E$36/12</f>
        <v>-6281.28060637096</v>
      </c>
      <c r="AL30" s="19" t="n">
        <f aca="false">-(AL49+AL50)*Inputs!$E$36/12</f>
        <v>-6274.21978812843</v>
      </c>
    </row>
    <row r="31" customFormat="false" ht="15" hidden="false" customHeight="false" outlineLevel="0" collapsed="false">
      <c r="A31" s="4" t="s">
        <v>142</v>
      </c>
      <c r="C31" s="32" t="n">
        <f aca="false">C29+C30</f>
        <v>-795.097736625515</v>
      </c>
      <c r="D31" s="32" t="n">
        <f aca="false">D29+D30</f>
        <v>-790.121854193122</v>
      </c>
      <c r="E31" s="32" t="n">
        <f aca="false">E29+E30</f>
        <v>-785.114142949681</v>
      </c>
      <c r="F31" s="32" t="n">
        <f aca="false">F29+F30</f>
        <v>-780.07443048913</v>
      </c>
      <c r="G31" s="32" t="n">
        <f aca="false">G29+G30</f>
        <v>-775.002543471544</v>
      </c>
      <c r="H31" s="32" t="n">
        <f aca="false">H29+H30</f>
        <v>-769.898307618073</v>
      </c>
      <c r="I31" s="32" t="n">
        <f aca="false">I29+I30</f>
        <v>-764.761547705854</v>
      </c>
      <c r="J31" s="32" t="n">
        <f aca="false">J29+J30</f>
        <v>-759.592087562905</v>
      </c>
      <c r="K31" s="32" t="n">
        <f aca="false">K29+K30</f>
        <v>-754.389750062974</v>
      </c>
      <c r="L31" s="32" t="n">
        <f aca="false">L29+L30</f>
        <v>-749.154357120377</v>
      </c>
      <c r="M31" s="32" t="n">
        <f aca="false">M29+M30</f>
        <v>-743.8857296848</v>
      </c>
      <c r="N31" s="32" t="n">
        <f aca="false">N29+N30</f>
        <v>-738.583687736074</v>
      </c>
      <c r="O31" s="32" t="n">
        <f aca="false">O29+O30</f>
        <v>-419.925056451759</v>
      </c>
      <c r="P31" s="32" t="n">
        <f aca="false">P29+P30</f>
        <v>-414.582647683344</v>
      </c>
      <c r="Q31" s="32" t="n">
        <f aca="false">Q29+Q30</f>
        <v>-409.206278469456</v>
      </c>
      <c r="R31" s="32" t="n">
        <f aca="false">R29+R30</f>
        <v>-403.795764857683</v>
      </c>
      <c r="S31" s="32" t="n">
        <f aca="false">S29+S30</f>
        <v>-398.350921899203</v>
      </c>
      <c r="T31" s="32" t="n">
        <f aca="false">T29+T30</f>
        <v>-392.871563643385</v>
      </c>
      <c r="U31" s="32" t="n">
        <f aca="false">U29+U30</f>
        <v>-387.357503132375</v>
      </c>
      <c r="V31" s="32" t="n">
        <f aca="false">V29+V30</f>
        <v>-381.808552395621</v>
      </c>
      <c r="W31" s="32" t="n">
        <f aca="false">W29+W30</f>
        <v>-376.224522444397</v>
      </c>
      <c r="X31" s="32" t="n">
        <f aca="false">X29+X30</f>
        <v>-370.605223266295</v>
      </c>
      <c r="Y31" s="32" t="n">
        <f aca="false">Y29+Y30</f>
        <v>-364.950463819669</v>
      </c>
      <c r="Z31" s="32" t="n">
        <f aca="false">Z29+Z30</f>
        <v>-359.260052028061</v>
      </c>
      <c r="AA31" s="32" t="n">
        <f aca="false">AA29+AA30</f>
        <v>-30.8111111326316</v>
      </c>
      <c r="AB31" s="32" t="n">
        <f aca="false">AB29+AB30</f>
        <v>-25.076630612436</v>
      </c>
      <c r="AC31" s="32" t="n">
        <f aca="false">AC29+AC30</f>
        <v>-19.3059152528394</v>
      </c>
      <c r="AD31" s="32" t="n">
        <f aca="false">AD29+AD30</f>
        <v>-13.4987687817975</v>
      </c>
      <c r="AE31" s="32" t="n">
        <f aca="false">AE29+AE30</f>
        <v>-7.65499386412012</v>
      </c>
      <c r="AF31" s="32" t="n">
        <f aca="false">AF29+AF30</f>
        <v>-1.77439209572185</v>
      </c>
      <c r="AG31" s="32" t="n">
        <f aca="false">AG29+AG30</f>
        <v>4.14323600216994</v>
      </c>
      <c r="AH31" s="32" t="n">
        <f aca="false">AH29+AH30</f>
        <v>10.0980909888422</v>
      </c>
      <c r="AI31" s="32" t="n">
        <f aca="false">AI29+AI30</f>
        <v>16.0903745099413</v>
      </c>
      <c r="AJ31" s="32" t="n">
        <f aca="false">AJ29+AJ30</f>
        <v>22.1202893033624</v>
      </c>
      <c r="AK31" s="32" t="n">
        <f aca="false">AK29+AK30</f>
        <v>28.1880392051635</v>
      </c>
      <c r="AL31" s="32" t="n">
        <f aca="false">AL29+AL30</f>
        <v>34.2938291555147</v>
      </c>
    </row>
    <row r="32" customFormat="false" ht="15" hidden="false" customHeight="false" outlineLevel="0" collapsed="false">
      <c r="A32" s="17" t="s">
        <v>143</v>
      </c>
      <c r="C32" s="19" t="n">
        <f aca="false">C31</f>
        <v>-795.097736625515</v>
      </c>
      <c r="D32" s="19" t="n">
        <f aca="false">C32+D31</f>
        <v>-1585.21959081864</v>
      </c>
      <c r="E32" s="19" t="n">
        <f aca="false">D32+E31</f>
        <v>-2370.33373376832</v>
      </c>
      <c r="F32" s="19" t="n">
        <f aca="false">E32+F31</f>
        <v>-3150.40816425745</v>
      </c>
      <c r="G32" s="19" t="n">
        <f aca="false">F32+G31</f>
        <v>-3925.41070772899</v>
      </c>
      <c r="H32" s="19" t="n">
        <f aca="false">G32+H31</f>
        <v>-4695.30901534706</v>
      </c>
      <c r="I32" s="19" t="n">
        <f aca="false">H32+I31</f>
        <v>-5460.07056305292</v>
      </c>
      <c r="J32" s="19" t="n">
        <f aca="false">I32+J31</f>
        <v>-6219.66265061582</v>
      </c>
      <c r="K32" s="19" t="n">
        <f aca="false">J32+K31</f>
        <v>-6974.0524006788</v>
      </c>
      <c r="L32" s="19" t="n">
        <f aca="false">K32+L31</f>
        <v>-7723.20675779918</v>
      </c>
      <c r="M32" s="19" t="n">
        <f aca="false">L32+M31</f>
        <v>-8467.09248748398</v>
      </c>
      <c r="N32" s="19" t="n">
        <f aca="false">M32+N31</f>
        <v>-9205.67617522005</v>
      </c>
      <c r="O32" s="19" t="n">
        <f aca="false">N32+O31</f>
        <v>-9625.60123167181</v>
      </c>
      <c r="P32" s="19" t="n">
        <f aca="false">O32+P31</f>
        <v>-10040.1838793552</v>
      </c>
      <c r="Q32" s="19" t="n">
        <f aca="false">P32+Q31</f>
        <v>-10449.3901578246</v>
      </c>
      <c r="R32" s="19" t="n">
        <f aca="false">Q32+R31</f>
        <v>-10853.1859226823</v>
      </c>
      <c r="S32" s="19" t="n">
        <f aca="false">R32+S31</f>
        <v>-11251.5368445815</v>
      </c>
      <c r="T32" s="19" t="n">
        <f aca="false">S32+T31</f>
        <v>-11644.4084082249</v>
      </c>
      <c r="U32" s="19" t="n">
        <f aca="false">T32+U31</f>
        <v>-12031.7659113573</v>
      </c>
      <c r="V32" s="19" t="n">
        <f aca="false">U32+V31</f>
        <v>-12413.5744637529</v>
      </c>
      <c r="W32" s="19" t="n">
        <f aca="false">V32+W31</f>
        <v>-12789.7989861973</v>
      </c>
      <c r="X32" s="19" t="n">
        <f aca="false">W32+X31</f>
        <v>-13160.4042094636</v>
      </c>
      <c r="Y32" s="19" t="n">
        <f aca="false">X32+Y31</f>
        <v>-13525.3546732832</v>
      </c>
      <c r="Z32" s="19" t="n">
        <f aca="false">Y32+Z31</f>
        <v>-13884.6147253113</v>
      </c>
      <c r="AA32" s="19" t="n">
        <f aca="false">Z32+AA31</f>
        <v>-13915.4258364439</v>
      </c>
      <c r="AB32" s="19" t="n">
        <f aca="false">AA32+AB31</f>
        <v>-13940.5024670564</v>
      </c>
      <c r="AC32" s="19" t="n">
        <f aca="false">AB32+AC31</f>
        <v>-13959.8083823092</v>
      </c>
      <c r="AD32" s="19" t="n">
        <f aca="false">AC32+AD31</f>
        <v>-13973.307151091</v>
      </c>
      <c r="AE32" s="19" t="n">
        <f aca="false">AD32+AE31</f>
        <v>-13980.9621449551</v>
      </c>
      <c r="AF32" s="19" t="n">
        <f aca="false">AE32+AF31</f>
        <v>-13982.7365370508</v>
      </c>
      <c r="AG32" s="19" t="n">
        <f aca="false">AF32+AG31</f>
        <v>-13978.5933010487</v>
      </c>
      <c r="AH32" s="19" t="n">
        <f aca="false">AG32+AH31</f>
        <v>-13968.4952100598</v>
      </c>
      <c r="AI32" s="19" t="n">
        <f aca="false">AH32+AI31</f>
        <v>-13952.4048355499</v>
      </c>
      <c r="AJ32" s="19" t="n">
        <f aca="false">AI32+AJ31</f>
        <v>-13930.2845462465</v>
      </c>
      <c r="AK32" s="19" t="n">
        <f aca="false">AJ32+AK31</f>
        <v>-13902.0965070414</v>
      </c>
      <c r="AL32" s="19" t="n">
        <f aca="false">AK32+AL31</f>
        <v>-13867.8026778858</v>
      </c>
    </row>
    <row r="33" customFormat="false" ht="15" hidden="false" customHeight="false" outlineLevel="0" collapsed="false">
      <c r="A33" s="17" t="s">
        <v>144</v>
      </c>
      <c r="C33" s="19" t="n">
        <f aca="false">MAX(0,C32)</f>
        <v>0</v>
      </c>
      <c r="D33" s="19" t="n">
        <f aca="false">MAX(C33,D32)</f>
        <v>0</v>
      </c>
      <c r="E33" s="19" t="n">
        <f aca="false">MAX(D33,E32)</f>
        <v>0</v>
      </c>
      <c r="F33" s="19" t="n">
        <f aca="false">MAX(E33,F32)</f>
        <v>0</v>
      </c>
      <c r="G33" s="19" t="n">
        <f aca="false">MAX(F33,G32)</f>
        <v>0</v>
      </c>
      <c r="H33" s="19" t="n">
        <f aca="false">MAX(G33,H32)</f>
        <v>0</v>
      </c>
      <c r="I33" s="19" t="n">
        <f aca="false">MAX(H33,I32)</f>
        <v>0</v>
      </c>
      <c r="J33" s="19" t="n">
        <f aca="false">MAX(I33,J32)</f>
        <v>0</v>
      </c>
      <c r="K33" s="19" t="n">
        <f aca="false">MAX(J33,K32)</f>
        <v>0</v>
      </c>
      <c r="L33" s="19" t="n">
        <f aca="false">MAX(K33,L32)</f>
        <v>0</v>
      </c>
      <c r="M33" s="19" t="n">
        <f aca="false">MAX(L33,M32)</f>
        <v>0</v>
      </c>
      <c r="N33" s="19" t="n">
        <f aca="false">MAX(M33,N32)</f>
        <v>0</v>
      </c>
      <c r="O33" s="19" t="n">
        <f aca="false">MAX(N33,O32)</f>
        <v>0</v>
      </c>
      <c r="P33" s="19" t="n">
        <f aca="false">MAX(O33,P32)</f>
        <v>0</v>
      </c>
      <c r="Q33" s="19" t="n">
        <f aca="false">MAX(P33,Q32)</f>
        <v>0</v>
      </c>
      <c r="R33" s="19" t="n">
        <f aca="false">MAX(Q33,R32)</f>
        <v>0</v>
      </c>
      <c r="S33" s="19" t="n">
        <f aca="false">MAX(R33,S32)</f>
        <v>0</v>
      </c>
      <c r="T33" s="19" t="n">
        <f aca="false">MAX(S33,T32)</f>
        <v>0</v>
      </c>
      <c r="U33" s="19" t="n">
        <f aca="false">MAX(T33,U32)</f>
        <v>0</v>
      </c>
      <c r="V33" s="19" t="n">
        <f aca="false">MAX(U33,V32)</f>
        <v>0</v>
      </c>
      <c r="W33" s="19" t="n">
        <f aca="false">MAX(V33,W32)</f>
        <v>0</v>
      </c>
      <c r="X33" s="19" t="n">
        <f aca="false">MAX(W33,X32)</f>
        <v>0</v>
      </c>
      <c r="Y33" s="19" t="n">
        <f aca="false">MAX(X33,Y32)</f>
        <v>0</v>
      </c>
      <c r="Z33" s="19" t="n">
        <f aca="false">MAX(Y33,Z32)</f>
        <v>0</v>
      </c>
      <c r="AA33" s="19" t="n">
        <f aca="false">MAX(Z33,AA32)</f>
        <v>0</v>
      </c>
      <c r="AB33" s="19" t="n">
        <f aca="false">MAX(AA33,AB32)</f>
        <v>0</v>
      </c>
      <c r="AC33" s="19" t="n">
        <f aca="false">MAX(AB33,AC32)</f>
        <v>0</v>
      </c>
      <c r="AD33" s="19" t="n">
        <f aca="false">MAX(AC33,AD32)</f>
        <v>0</v>
      </c>
      <c r="AE33" s="19" t="n">
        <f aca="false">MAX(AD33,AE32)</f>
        <v>0</v>
      </c>
      <c r="AF33" s="19" t="n">
        <f aca="false">MAX(AE33,AF32)</f>
        <v>0</v>
      </c>
      <c r="AG33" s="19" t="n">
        <f aca="false">MAX(AF33,AG32)</f>
        <v>0</v>
      </c>
      <c r="AH33" s="19" t="n">
        <f aca="false">MAX(AG33,AH32)</f>
        <v>0</v>
      </c>
      <c r="AI33" s="19" t="n">
        <f aca="false">MAX(AH33,AI32)</f>
        <v>0</v>
      </c>
      <c r="AJ33" s="19" t="n">
        <f aca="false">MAX(AI33,AJ32)</f>
        <v>0</v>
      </c>
      <c r="AK33" s="19" t="n">
        <f aca="false">MAX(AJ33,AK32)</f>
        <v>0</v>
      </c>
      <c r="AL33" s="19" t="n">
        <f aca="false">MAX(AK33,AL32)</f>
        <v>0</v>
      </c>
    </row>
    <row r="34" customFormat="false" ht="15" hidden="false" customHeight="false" outlineLevel="0" collapsed="false">
      <c r="A34" s="11" t="s">
        <v>145</v>
      </c>
      <c r="C34" s="19" t="n">
        <f aca="false">-C33*Inputs!$E$46</f>
        <v>-0</v>
      </c>
      <c r="D34" s="19" t="n">
        <f aca="false">-(D33-C33)*Inputs!$E$46</f>
        <v>-0</v>
      </c>
      <c r="E34" s="19" t="n">
        <f aca="false">-(E33-D33)*Inputs!$E$46</f>
        <v>-0</v>
      </c>
      <c r="F34" s="19" t="n">
        <f aca="false">-(F33-E33)*Inputs!$E$46</f>
        <v>-0</v>
      </c>
      <c r="G34" s="19" t="n">
        <f aca="false">-(G33-F33)*Inputs!$E$46</f>
        <v>-0</v>
      </c>
      <c r="H34" s="19" t="n">
        <f aca="false">-(H33-G33)*Inputs!$E$46</f>
        <v>-0</v>
      </c>
      <c r="I34" s="19" t="n">
        <f aca="false">-(I33-H33)*Inputs!$E$46</f>
        <v>-0</v>
      </c>
      <c r="J34" s="19" t="n">
        <f aca="false">-(J33-I33)*Inputs!$E$46</f>
        <v>-0</v>
      </c>
      <c r="K34" s="19" t="n">
        <f aca="false">-(K33-J33)*Inputs!$E$46</f>
        <v>-0</v>
      </c>
      <c r="L34" s="19" t="n">
        <f aca="false">-(L33-K33)*Inputs!$E$46</f>
        <v>-0</v>
      </c>
      <c r="M34" s="19" t="n">
        <f aca="false">-(M33-L33)*Inputs!$E$46</f>
        <v>-0</v>
      </c>
      <c r="N34" s="19" t="n">
        <f aca="false">-(N33-M33)*Inputs!$E$46</f>
        <v>-0</v>
      </c>
      <c r="O34" s="19" t="n">
        <f aca="false">-(O33-N33)*Inputs!$E$46</f>
        <v>-0</v>
      </c>
      <c r="P34" s="19" t="n">
        <f aca="false">-(P33-O33)*Inputs!$E$46</f>
        <v>-0</v>
      </c>
      <c r="Q34" s="19" t="n">
        <f aca="false">-(Q33-P33)*Inputs!$E$46</f>
        <v>-0</v>
      </c>
      <c r="R34" s="19" t="n">
        <f aca="false">-(R33-Q33)*Inputs!$E$46</f>
        <v>-0</v>
      </c>
      <c r="S34" s="19" t="n">
        <f aca="false">-(S33-R33)*Inputs!$E$46</f>
        <v>-0</v>
      </c>
      <c r="T34" s="19" t="n">
        <f aca="false">-(T33-S33)*Inputs!$E$46</f>
        <v>-0</v>
      </c>
      <c r="U34" s="19" t="n">
        <f aca="false">-(U33-T33)*Inputs!$E$46</f>
        <v>-0</v>
      </c>
      <c r="V34" s="19" t="n">
        <f aca="false">-(V33-U33)*Inputs!$E$46</f>
        <v>-0</v>
      </c>
      <c r="W34" s="19" t="n">
        <f aca="false">-(W33-V33)*Inputs!$E$46</f>
        <v>-0</v>
      </c>
      <c r="X34" s="19" t="n">
        <f aca="false">-(X33-W33)*Inputs!$E$46</f>
        <v>-0</v>
      </c>
      <c r="Y34" s="19" t="n">
        <f aca="false">-(Y33-X33)*Inputs!$E$46</f>
        <v>-0</v>
      </c>
      <c r="Z34" s="19" t="n">
        <f aca="false">-(Z33-Y33)*Inputs!$E$46</f>
        <v>-0</v>
      </c>
      <c r="AA34" s="19" t="n">
        <f aca="false">-(AA33-Z33)*Inputs!$E$46</f>
        <v>-0</v>
      </c>
      <c r="AB34" s="19" t="n">
        <f aca="false">-(AB33-AA33)*Inputs!$E$46</f>
        <v>-0</v>
      </c>
      <c r="AC34" s="19" t="n">
        <f aca="false">-(AC33-AB33)*Inputs!$E$46</f>
        <v>-0</v>
      </c>
      <c r="AD34" s="19" t="n">
        <f aca="false">-(AD33-AC33)*Inputs!$E$46</f>
        <v>-0</v>
      </c>
      <c r="AE34" s="19" t="n">
        <f aca="false">-(AE33-AD33)*Inputs!$E$46</f>
        <v>-0</v>
      </c>
      <c r="AF34" s="19" t="n">
        <f aca="false">-(AF33-AE33)*Inputs!$E$46</f>
        <v>-0</v>
      </c>
      <c r="AG34" s="19" t="n">
        <f aca="false">-(AG33-AF33)*Inputs!$E$46</f>
        <v>-0</v>
      </c>
      <c r="AH34" s="19" t="n">
        <f aca="false">-(AH33-AG33)*Inputs!$E$46</f>
        <v>-0</v>
      </c>
      <c r="AI34" s="19" t="n">
        <f aca="false">-(AI33-AH33)*Inputs!$E$46</f>
        <v>-0</v>
      </c>
      <c r="AJ34" s="19" t="n">
        <f aca="false">-(AJ33-AI33)*Inputs!$E$46</f>
        <v>-0</v>
      </c>
      <c r="AK34" s="19" t="n">
        <f aca="false">-(AK33-AJ33)*Inputs!$E$46</f>
        <v>-0</v>
      </c>
      <c r="AL34" s="19" t="n">
        <f aca="false">-(AL33-AK33)*Inputs!$E$46</f>
        <v>-0</v>
      </c>
    </row>
    <row r="35" customFormat="false" ht="15" hidden="false" customHeight="false" outlineLevel="0" collapsed="false">
      <c r="A35" s="4" t="s">
        <v>11</v>
      </c>
      <c r="C35" s="32" t="n">
        <f aca="false">C31+C34</f>
        <v>-795.097736625515</v>
      </c>
      <c r="D35" s="32" t="n">
        <f aca="false">D31+D34</f>
        <v>-790.121854193122</v>
      </c>
      <c r="E35" s="32" t="n">
        <f aca="false">E31+E34</f>
        <v>-785.114142949681</v>
      </c>
      <c r="F35" s="32" t="n">
        <f aca="false">F31+F34</f>
        <v>-780.07443048913</v>
      </c>
      <c r="G35" s="32" t="n">
        <f aca="false">G31+G34</f>
        <v>-775.002543471544</v>
      </c>
      <c r="H35" s="32" t="n">
        <f aca="false">H31+H34</f>
        <v>-769.898307618073</v>
      </c>
      <c r="I35" s="32" t="n">
        <f aca="false">I31+I34</f>
        <v>-764.761547705854</v>
      </c>
      <c r="J35" s="32" t="n">
        <f aca="false">J31+J34</f>
        <v>-759.592087562905</v>
      </c>
      <c r="K35" s="32" t="n">
        <f aca="false">K31+K34</f>
        <v>-754.389750062974</v>
      </c>
      <c r="L35" s="32" t="n">
        <f aca="false">L31+L34</f>
        <v>-749.154357120377</v>
      </c>
      <c r="M35" s="32" t="n">
        <f aca="false">M31+M34</f>
        <v>-743.8857296848</v>
      </c>
      <c r="N35" s="32" t="n">
        <f aca="false">N31+N34</f>
        <v>-738.583687736074</v>
      </c>
      <c r="O35" s="32" t="n">
        <f aca="false">O31+O34</f>
        <v>-419.925056451759</v>
      </c>
      <c r="P35" s="32" t="n">
        <f aca="false">P31+P34</f>
        <v>-414.582647683344</v>
      </c>
      <c r="Q35" s="32" t="n">
        <f aca="false">Q31+Q34</f>
        <v>-409.206278469456</v>
      </c>
      <c r="R35" s="32" t="n">
        <f aca="false">R31+R34</f>
        <v>-403.795764857683</v>
      </c>
      <c r="S35" s="32" t="n">
        <f aca="false">S31+S34</f>
        <v>-398.350921899203</v>
      </c>
      <c r="T35" s="32" t="n">
        <f aca="false">T31+T34</f>
        <v>-392.871563643385</v>
      </c>
      <c r="U35" s="32" t="n">
        <f aca="false">U31+U34</f>
        <v>-387.357503132375</v>
      </c>
      <c r="V35" s="32" t="n">
        <f aca="false">V31+V34</f>
        <v>-381.808552395621</v>
      </c>
      <c r="W35" s="32" t="n">
        <f aca="false">W31+W34</f>
        <v>-376.224522444397</v>
      </c>
      <c r="X35" s="32" t="n">
        <f aca="false">X31+X34</f>
        <v>-370.605223266295</v>
      </c>
      <c r="Y35" s="32" t="n">
        <f aca="false">Y31+Y34</f>
        <v>-364.950463819669</v>
      </c>
      <c r="Z35" s="32" t="n">
        <f aca="false">Z31+Z34</f>
        <v>-359.260052028061</v>
      </c>
      <c r="AA35" s="32" t="n">
        <f aca="false">AA31+AA34</f>
        <v>-30.8111111326316</v>
      </c>
      <c r="AB35" s="32" t="n">
        <f aca="false">AB31+AB34</f>
        <v>-25.076630612436</v>
      </c>
      <c r="AC35" s="32" t="n">
        <f aca="false">AC31+AC34</f>
        <v>-19.3059152528394</v>
      </c>
      <c r="AD35" s="32" t="n">
        <f aca="false">AD31+AD34</f>
        <v>-13.4987687817975</v>
      </c>
      <c r="AE35" s="32" t="n">
        <f aca="false">AE31+AE34</f>
        <v>-7.65499386412012</v>
      </c>
      <c r="AF35" s="32" t="n">
        <f aca="false">AF31+AF34</f>
        <v>-1.77439209572185</v>
      </c>
      <c r="AG35" s="32" t="n">
        <f aca="false">AG31+AG34</f>
        <v>4.14323600216994</v>
      </c>
      <c r="AH35" s="32" t="n">
        <f aca="false">AH31+AH34</f>
        <v>10.0980909888422</v>
      </c>
      <c r="AI35" s="32" t="n">
        <f aca="false">AI31+AI34</f>
        <v>16.0903745099413</v>
      </c>
      <c r="AJ35" s="32" t="n">
        <f aca="false">AJ31+AJ34</f>
        <v>22.1202893033624</v>
      </c>
      <c r="AK35" s="32" t="n">
        <f aca="false">AK31+AK34</f>
        <v>28.1880392051635</v>
      </c>
      <c r="AL35" s="32" t="n">
        <f aca="false">AL31+AL34</f>
        <v>34.2938291555147</v>
      </c>
    </row>
    <row r="37" customFormat="false" ht="15" hidden="false" customHeight="false" outlineLevel="0" collapsed="false">
      <c r="A37" s="7" t="s">
        <v>146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customFormat="false" ht="15" hidden="false" customHeight="false" outlineLevel="0" collapsed="false">
      <c r="A38" s="11" t="s">
        <v>147</v>
      </c>
      <c r="C38" s="19" t="n">
        <f aca="false">IF(C$4=1,Inputs!$E$7*(1+Inputs!$E$9),0)</f>
        <v>1905500</v>
      </c>
      <c r="D38" s="19" t="n">
        <f aca="false">IF(D$4=1,Inputs!$E$7*(1+Inputs!$E$9),0)</f>
        <v>0</v>
      </c>
      <c r="E38" s="19" t="n">
        <f aca="false">IF(E$4=1,Inputs!$E$7*(1+Inputs!$E$9),0)</f>
        <v>0</v>
      </c>
      <c r="F38" s="19" t="n">
        <f aca="false">IF(F$4=1,Inputs!$E$7*(1+Inputs!$E$9),0)</f>
        <v>0</v>
      </c>
      <c r="G38" s="19" t="n">
        <f aca="false">IF(G$4=1,Inputs!$E$7*(1+Inputs!$E$9),0)</f>
        <v>0</v>
      </c>
      <c r="H38" s="19" t="n">
        <f aca="false">IF(H$4=1,Inputs!$E$7*(1+Inputs!$E$9),0)</f>
        <v>0</v>
      </c>
      <c r="I38" s="19" t="n">
        <f aca="false">IF(I$4=1,Inputs!$E$7*(1+Inputs!$E$9),0)</f>
        <v>0</v>
      </c>
      <c r="J38" s="19" t="n">
        <f aca="false">IF(J$4=1,Inputs!$E$7*(1+Inputs!$E$9),0)</f>
        <v>0</v>
      </c>
      <c r="K38" s="19" t="n">
        <f aca="false">IF(K$4=1,Inputs!$E$7*(1+Inputs!$E$9),0)</f>
        <v>0</v>
      </c>
      <c r="L38" s="19" t="n">
        <f aca="false">IF(L$4=1,Inputs!$E$7*(1+Inputs!$E$9),0)</f>
        <v>0</v>
      </c>
      <c r="M38" s="19" t="n">
        <f aca="false">IF(M$4=1,Inputs!$E$7*(1+Inputs!$E$9),0)</f>
        <v>0</v>
      </c>
      <c r="N38" s="19" t="n">
        <f aca="false">IF(N$4=1,Inputs!$E$7*(1+Inputs!$E$9),0)</f>
        <v>0</v>
      </c>
      <c r="O38" s="19" t="n">
        <f aca="false">IF(O$4=1,Inputs!$E$7*(1+Inputs!$E$9),0)</f>
        <v>0</v>
      </c>
      <c r="P38" s="19" t="n">
        <f aca="false">IF(P$4=1,Inputs!$E$7*(1+Inputs!$E$9),0)</f>
        <v>0</v>
      </c>
      <c r="Q38" s="19" t="n">
        <f aca="false">IF(Q$4=1,Inputs!$E$7*(1+Inputs!$E$9),0)</f>
        <v>0</v>
      </c>
      <c r="R38" s="19" t="n">
        <f aca="false">IF(R$4=1,Inputs!$E$7*(1+Inputs!$E$9),0)</f>
        <v>0</v>
      </c>
      <c r="S38" s="19" t="n">
        <f aca="false">IF(S$4=1,Inputs!$E$7*(1+Inputs!$E$9),0)</f>
        <v>0</v>
      </c>
      <c r="T38" s="19" t="n">
        <f aca="false">IF(T$4=1,Inputs!$E$7*(1+Inputs!$E$9),0)</f>
        <v>0</v>
      </c>
      <c r="U38" s="19" t="n">
        <f aca="false">IF(U$4=1,Inputs!$E$7*(1+Inputs!$E$9),0)</f>
        <v>0</v>
      </c>
      <c r="V38" s="19" t="n">
        <f aca="false">IF(V$4=1,Inputs!$E$7*(1+Inputs!$E$9),0)</f>
        <v>0</v>
      </c>
      <c r="W38" s="19" t="n">
        <f aca="false">IF(W$4=1,Inputs!$E$7*(1+Inputs!$E$9),0)</f>
        <v>0</v>
      </c>
      <c r="X38" s="19" t="n">
        <f aca="false">IF(X$4=1,Inputs!$E$7*(1+Inputs!$E$9),0)</f>
        <v>0</v>
      </c>
      <c r="Y38" s="19" t="n">
        <f aca="false">IF(Y$4=1,Inputs!$E$7*(1+Inputs!$E$9),0)</f>
        <v>0</v>
      </c>
      <c r="Z38" s="19" t="n">
        <f aca="false">IF(Z$4=1,Inputs!$E$7*(1+Inputs!$E$9),0)</f>
        <v>0</v>
      </c>
      <c r="AA38" s="19" t="n">
        <f aca="false">IF(AA$4=1,Inputs!$E$7*(1+Inputs!$E$9),0)</f>
        <v>0</v>
      </c>
      <c r="AB38" s="19" t="n">
        <f aca="false">IF(AB$4=1,Inputs!$E$7*(1+Inputs!$E$9),0)</f>
        <v>0</v>
      </c>
      <c r="AC38" s="19" t="n">
        <f aca="false">IF(AC$4=1,Inputs!$E$7*(1+Inputs!$E$9),0)</f>
        <v>0</v>
      </c>
      <c r="AD38" s="19" t="n">
        <f aca="false">IF(AD$4=1,Inputs!$E$7*(1+Inputs!$E$9),0)</f>
        <v>0</v>
      </c>
      <c r="AE38" s="19" t="n">
        <f aca="false">IF(AE$4=1,Inputs!$E$7*(1+Inputs!$E$9),0)</f>
        <v>0</v>
      </c>
      <c r="AF38" s="19" t="n">
        <f aca="false">IF(AF$4=1,Inputs!$E$7*(1+Inputs!$E$9),0)</f>
        <v>0</v>
      </c>
      <c r="AG38" s="19" t="n">
        <f aca="false">IF(AG$4=1,Inputs!$E$7*(1+Inputs!$E$9),0)</f>
        <v>0</v>
      </c>
      <c r="AH38" s="19" t="n">
        <f aca="false">IF(AH$4=1,Inputs!$E$7*(1+Inputs!$E$9),0)</f>
        <v>0</v>
      </c>
      <c r="AI38" s="19" t="n">
        <f aca="false">IF(AI$4=1,Inputs!$E$7*(1+Inputs!$E$9),0)</f>
        <v>0</v>
      </c>
      <c r="AJ38" s="19" t="n">
        <f aca="false">IF(AJ$4=1,Inputs!$E$7*(1+Inputs!$E$9),0)</f>
        <v>0</v>
      </c>
      <c r="AK38" s="19" t="n">
        <f aca="false">IF(AK$4=1,Inputs!$E$7*(1+Inputs!$E$9),0)</f>
        <v>0</v>
      </c>
      <c r="AL38" s="19" t="n">
        <f aca="false">IF(AL$4=1,Inputs!$E$7*(1+Inputs!$E$9),0)</f>
        <v>0</v>
      </c>
    </row>
    <row r="39" customFormat="false" ht="15" hidden="false" customHeight="false" outlineLevel="0" collapsed="false">
      <c r="A39" s="11" t="s">
        <v>148</v>
      </c>
      <c r="C39" s="19" t="n">
        <f aca="false">IF(C$4=1,Inputs!$E$7*Inputs!$E$8,0)</f>
        <v>370000</v>
      </c>
      <c r="D39" s="19" t="n">
        <f aca="false">IF(D$4=1,Inputs!$E$7*Inputs!$E$8,0)</f>
        <v>0</v>
      </c>
      <c r="E39" s="19" t="n">
        <f aca="false">IF(E$4=1,Inputs!$E$7*Inputs!$E$8,0)</f>
        <v>0</v>
      </c>
      <c r="F39" s="19" t="n">
        <f aca="false">IF(F$4=1,Inputs!$E$7*Inputs!$E$8,0)</f>
        <v>0</v>
      </c>
      <c r="G39" s="19" t="n">
        <f aca="false">IF(G$4=1,Inputs!$E$7*Inputs!$E$8,0)</f>
        <v>0</v>
      </c>
      <c r="H39" s="19" t="n">
        <f aca="false">IF(H$4=1,Inputs!$E$7*Inputs!$E$8,0)</f>
        <v>0</v>
      </c>
      <c r="I39" s="19" t="n">
        <f aca="false">IF(I$4=1,Inputs!$E$7*Inputs!$E$8,0)</f>
        <v>0</v>
      </c>
      <c r="J39" s="19" t="n">
        <f aca="false">IF(J$4=1,Inputs!$E$7*Inputs!$E$8,0)</f>
        <v>0</v>
      </c>
      <c r="K39" s="19" t="n">
        <f aca="false">IF(K$4=1,Inputs!$E$7*Inputs!$E$8,0)</f>
        <v>0</v>
      </c>
      <c r="L39" s="19" t="n">
        <f aca="false">IF(L$4=1,Inputs!$E$7*Inputs!$E$8,0)</f>
        <v>0</v>
      </c>
      <c r="M39" s="19" t="n">
        <f aca="false">IF(M$4=1,Inputs!$E$7*Inputs!$E$8,0)</f>
        <v>0</v>
      </c>
      <c r="N39" s="19" t="n">
        <f aca="false">IF(N$4=1,Inputs!$E$7*Inputs!$E$8,0)</f>
        <v>0</v>
      </c>
      <c r="O39" s="19" t="n">
        <f aca="false">IF(O$4=1,Inputs!$E$7*Inputs!$E$8,0)</f>
        <v>0</v>
      </c>
      <c r="P39" s="19" t="n">
        <f aca="false">IF(P$4=1,Inputs!$E$7*Inputs!$E$8,0)</f>
        <v>0</v>
      </c>
      <c r="Q39" s="19" t="n">
        <f aca="false">IF(Q$4=1,Inputs!$E$7*Inputs!$E$8,0)</f>
        <v>0</v>
      </c>
      <c r="R39" s="19" t="n">
        <f aca="false">IF(R$4=1,Inputs!$E$7*Inputs!$E$8,0)</f>
        <v>0</v>
      </c>
      <c r="S39" s="19" t="n">
        <f aca="false">IF(S$4=1,Inputs!$E$7*Inputs!$E$8,0)</f>
        <v>0</v>
      </c>
      <c r="T39" s="19" t="n">
        <f aca="false">IF(T$4=1,Inputs!$E$7*Inputs!$E$8,0)</f>
        <v>0</v>
      </c>
      <c r="U39" s="19" t="n">
        <f aca="false">IF(U$4=1,Inputs!$E$7*Inputs!$E$8,0)</f>
        <v>0</v>
      </c>
      <c r="V39" s="19" t="n">
        <f aca="false">IF(V$4=1,Inputs!$E$7*Inputs!$E$8,0)</f>
        <v>0</v>
      </c>
      <c r="W39" s="19" t="n">
        <f aca="false">IF(W$4=1,Inputs!$E$7*Inputs!$E$8,0)</f>
        <v>0</v>
      </c>
      <c r="X39" s="19" t="n">
        <f aca="false">IF(X$4=1,Inputs!$E$7*Inputs!$E$8,0)</f>
        <v>0</v>
      </c>
      <c r="Y39" s="19" t="n">
        <f aca="false">IF(Y$4=1,Inputs!$E$7*Inputs!$E$8,0)</f>
        <v>0</v>
      </c>
      <c r="Z39" s="19" t="n">
        <f aca="false">IF(Z$4=1,Inputs!$E$7*Inputs!$E$8,0)</f>
        <v>0</v>
      </c>
      <c r="AA39" s="19" t="n">
        <f aca="false">IF(AA$4=1,Inputs!$E$7*Inputs!$E$8,0)</f>
        <v>0</v>
      </c>
      <c r="AB39" s="19" t="n">
        <f aca="false">IF(AB$4=1,Inputs!$E$7*Inputs!$E$8,0)</f>
        <v>0</v>
      </c>
      <c r="AC39" s="19" t="n">
        <f aca="false">IF(AC$4=1,Inputs!$E$7*Inputs!$E$8,0)</f>
        <v>0</v>
      </c>
      <c r="AD39" s="19" t="n">
        <f aca="false">IF(AD$4=1,Inputs!$E$7*Inputs!$E$8,0)</f>
        <v>0</v>
      </c>
      <c r="AE39" s="19" t="n">
        <f aca="false">IF(AE$4=1,Inputs!$E$7*Inputs!$E$8,0)</f>
        <v>0</v>
      </c>
      <c r="AF39" s="19" t="n">
        <f aca="false">IF(AF$4=1,Inputs!$E$7*Inputs!$E$8,0)</f>
        <v>0</v>
      </c>
      <c r="AG39" s="19" t="n">
        <f aca="false">IF(AG$4=1,Inputs!$E$7*Inputs!$E$8,0)</f>
        <v>0</v>
      </c>
      <c r="AH39" s="19" t="n">
        <f aca="false">IF(AH$4=1,Inputs!$E$7*Inputs!$E$8,0)</f>
        <v>0</v>
      </c>
      <c r="AI39" s="19" t="n">
        <f aca="false">IF(AI$4=1,Inputs!$E$7*Inputs!$E$8,0)</f>
        <v>0</v>
      </c>
      <c r="AJ39" s="19" t="n">
        <f aca="false">IF(AJ$4=1,Inputs!$E$7*Inputs!$E$8,0)</f>
        <v>0</v>
      </c>
      <c r="AK39" s="19" t="n">
        <f aca="false">IF(AK$4=1,Inputs!$E$7*Inputs!$E$8,0)</f>
        <v>0</v>
      </c>
      <c r="AL39" s="19" t="n">
        <f aca="false">IF(AL$4=1,Inputs!$E$7*Inputs!$E$8,0)</f>
        <v>0</v>
      </c>
    </row>
    <row r="40" customFormat="false" ht="15" hidden="false" customHeight="false" outlineLevel="0" collapsed="false">
      <c r="A40" s="11" t="s">
        <v>149</v>
      </c>
      <c r="C40" s="19" t="n">
        <f aca="false">Inputs!$E$10*Inputs!$E$26/12*(1+Inputs!$E$25)^(C$5-1)*1</f>
        <v>291.666666666667</v>
      </c>
      <c r="D40" s="19" t="n">
        <f aca="false">Inputs!$E$10*Inputs!$E$26/12*(1+Inputs!$E$25)^(D$5-1)*1</f>
        <v>291.666666666667</v>
      </c>
      <c r="E40" s="19" t="n">
        <f aca="false">Inputs!$E$10*Inputs!$E$26/12*(1+Inputs!$E$25)^(E$5-1)*1</f>
        <v>291.666666666667</v>
      </c>
      <c r="F40" s="19" t="n">
        <f aca="false">Inputs!$E$10*Inputs!$E$26/12*(1+Inputs!$E$25)^(F$5-1)*1</f>
        <v>291.666666666667</v>
      </c>
      <c r="G40" s="19" t="n">
        <f aca="false">Inputs!$E$10*Inputs!$E$26/12*(1+Inputs!$E$25)^(G$5-1)*1</f>
        <v>291.666666666667</v>
      </c>
      <c r="H40" s="19" t="n">
        <f aca="false">Inputs!$E$10*Inputs!$E$26/12*(1+Inputs!$E$25)^(H$5-1)*1</f>
        <v>291.666666666667</v>
      </c>
      <c r="I40" s="19" t="n">
        <f aca="false">Inputs!$E$10*Inputs!$E$26/12*(1+Inputs!$E$25)^(I$5-1)*1</f>
        <v>291.666666666667</v>
      </c>
      <c r="J40" s="19" t="n">
        <f aca="false">Inputs!$E$10*Inputs!$E$26/12*(1+Inputs!$E$25)^(J$5-1)*1</f>
        <v>291.666666666667</v>
      </c>
      <c r="K40" s="19" t="n">
        <f aca="false">Inputs!$E$10*Inputs!$E$26/12*(1+Inputs!$E$25)^(K$5-1)*1</f>
        <v>291.666666666667</v>
      </c>
      <c r="L40" s="19" t="n">
        <f aca="false">Inputs!$E$10*Inputs!$E$26/12*(1+Inputs!$E$25)^(L$5-1)*1</f>
        <v>291.666666666667</v>
      </c>
      <c r="M40" s="19" t="n">
        <f aca="false">Inputs!$E$10*Inputs!$E$26/12*(1+Inputs!$E$25)^(M$5-1)*1</f>
        <v>291.666666666667</v>
      </c>
      <c r="N40" s="19" t="n">
        <f aca="false">Inputs!$E$10*Inputs!$E$26/12*(1+Inputs!$E$25)^(N$5-1)*1</f>
        <v>291.666666666667</v>
      </c>
      <c r="O40" s="19" t="n">
        <f aca="false">Inputs!$E$10*Inputs!$E$26/12*(1+Inputs!$E$25)^(O$5-1)*1</f>
        <v>300.416666666667</v>
      </c>
      <c r="P40" s="19" t="n">
        <f aca="false">Inputs!$E$10*Inputs!$E$26/12*(1+Inputs!$E$25)^(P$5-1)*1</f>
        <v>300.416666666667</v>
      </c>
      <c r="Q40" s="19" t="n">
        <f aca="false">Inputs!$E$10*Inputs!$E$26/12*(1+Inputs!$E$25)^(Q$5-1)*1</f>
        <v>300.416666666667</v>
      </c>
      <c r="R40" s="19" t="n">
        <f aca="false">Inputs!$E$10*Inputs!$E$26/12*(1+Inputs!$E$25)^(R$5-1)*1</f>
        <v>300.416666666667</v>
      </c>
      <c r="S40" s="19" t="n">
        <f aca="false">Inputs!$E$10*Inputs!$E$26/12*(1+Inputs!$E$25)^(S$5-1)*1</f>
        <v>300.416666666667</v>
      </c>
      <c r="T40" s="19" t="n">
        <f aca="false">Inputs!$E$10*Inputs!$E$26/12*(1+Inputs!$E$25)^(T$5-1)*1</f>
        <v>300.416666666667</v>
      </c>
      <c r="U40" s="19" t="n">
        <f aca="false">Inputs!$E$10*Inputs!$E$26/12*(1+Inputs!$E$25)^(U$5-1)*1</f>
        <v>300.416666666667</v>
      </c>
      <c r="V40" s="19" t="n">
        <f aca="false">Inputs!$E$10*Inputs!$E$26/12*(1+Inputs!$E$25)^(V$5-1)*1</f>
        <v>300.416666666667</v>
      </c>
      <c r="W40" s="19" t="n">
        <f aca="false">Inputs!$E$10*Inputs!$E$26/12*(1+Inputs!$E$25)^(W$5-1)*1</f>
        <v>300.416666666667</v>
      </c>
      <c r="X40" s="19" t="n">
        <f aca="false">Inputs!$E$10*Inputs!$E$26/12*(1+Inputs!$E$25)^(X$5-1)*1</f>
        <v>300.416666666667</v>
      </c>
      <c r="Y40" s="19" t="n">
        <f aca="false">Inputs!$E$10*Inputs!$E$26/12*(1+Inputs!$E$25)^(Y$5-1)*1</f>
        <v>300.416666666667</v>
      </c>
      <c r="Z40" s="19" t="n">
        <f aca="false">Inputs!$E$10*Inputs!$E$26/12*(1+Inputs!$E$25)^(Z$5-1)*1</f>
        <v>300.416666666667</v>
      </c>
      <c r="AA40" s="19" t="n">
        <f aca="false">Inputs!$E$10*Inputs!$E$26/12*(1+Inputs!$E$25)^(AA$5-1)*1</f>
        <v>309.429166666667</v>
      </c>
      <c r="AB40" s="19" t="n">
        <f aca="false">Inputs!$E$10*Inputs!$E$26/12*(1+Inputs!$E$25)^(AB$5-1)*1</f>
        <v>309.429166666667</v>
      </c>
      <c r="AC40" s="19" t="n">
        <f aca="false">Inputs!$E$10*Inputs!$E$26/12*(1+Inputs!$E$25)^(AC$5-1)*1</f>
        <v>309.429166666667</v>
      </c>
      <c r="AD40" s="19" t="n">
        <f aca="false">Inputs!$E$10*Inputs!$E$26/12*(1+Inputs!$E$25)^(AD$5-1)*1</f>
        <v>309.429166666667</v>
      </c>
      <c r="AE40" s="19" t="n">
        <f aca="false">Inputs!$E$10*Inputs!$E$26/12*(1+Inputs!$E$25)^(AE$5-1)*1</f>
        <v>309.429166666667</v>
      </c>
      <c r="AF40" s="19" t="n">
        <f aca="false">Inputs!$E$10*Inputs!$E$26/12*(1+Inputs!$E$25)^(AF$5-1)*1</f>
        <v>309.429166666667</v>
      </c>
      <c r="AG40" s="19" t="n">
        <f aca="false">Inputs!$E$10*Inputs!$E$26/12*(1+Inputs!$E$25)^(AG$5-1)*1</f>
        <v>309.429166666667</v>
      </c>
      <c r="AH40" s="19" t="n">
        <f aca="false">Inputs!$E$10*Inputs!$E$26/12*(1+Inputs!$E$25)^(AH$5-1)*1</f>
        <v>309.429166666667</v>
      </c>
      <c r="AI40" s="19" t="n">
        <f aca="false">Inputs!$E$10*Inputs!$E$26/12*(1+Inputs!$E$25)^(AI$5-1)*1</f>
        <v>309.429166666667</v>
      </c>
      <c r="AJ40" s="19" t="n">
        <f aca="false">Inputs!$E$10*Inputs!$E$26/12*(1+Inputs!$E$25)^(AJ$5-1)*1</f>
        <v>309.429166666667</v>
      </c>
      <c r="AK40" s="19" t="n">
        <f aca="false">Inputs!$E$10*Inputs!$E$26/12*(1+Inputs!$E$25)^(AK$5-1)*1</f>
        <v>309.429166666667</v>
      </c>
      <c r="AL40" s="19" t="n">
        <f aca="false">Inputs!$E$10*Inputs!$E$26/12*(1+Inputs!$E$25)^(AL$5-1)*1</f>
        <v>309.429166666667</v>
      </c>
    </row>
    <row r="41" customFormat="false" ht="15" hidden="false" customHeight="false" outlineLevel="0" collapsed="false">
      <c r="A41" s="4" t="s">
        <v>150</v>
      </c>
      <c r="C41" s="15" t="n">
        <f aca="false">C38+C40</f>
        <v>1905791.66666667</v>
      </c>
      <c r="D41" s="15" t="n">
        <f aca="false">D38+D40</f>
        <v>291.666666666667</v>
      </c>
      <c r="E41" s="15" t="n">
        <f aca="false">E38+E40</f>
        <v>291.666666666667</v>
      </c>
      <c r="F41" s="15" t="n">
        <f aca="false">F38+F40</f>
        <v>291.666666666667</v>
      </c>
      <c r="G41" s="15" t="n">
        <f aca="false">G38+G40</f>
        <v>291.666666666667</v>
      </c>
      <c r="H41" s="15" t="n">
        <f aca="false">H38+H40</f>
        <v>291.666666666667</v>
      </c>
      <c r="I41" s="15" t="n">
        <f aca="false">I38+I40</f>
        <v>291.666666666667</v>
      </c>
      <c r="J41" s="15" t="n">
        <f aca="false">J38+J40</f>
        <v>291.666666666667</v>
      </c>
      <c r="K41" s="15" t="n">
        <f aca="false">K38+K40</f>
        <v>291.666666666667</v>
      </c>
      <c r="L41" s="15" t="n">
        <f aca="false">L38+L40</f>
        <v>291.666666666667</v>
      </c>
      <c r="M41" s="15" t="n">
        <f aca="false">M38+M40</f>
        <v>291.666666666667</v>
      </c>
      <c r="N41" s="15" t="n">
        <f aca="false">N38+N40</f>
        <v>291.666666666667</v>
      </c>
      <c r="O41" s="15" t="n">
        <f aca="false">O38+O40</f>
        <v>300.416666666667</v>
      </c>
      <c r="P41" s="15" t="n">
        <f aca="false">P38+P40</f>
        <v>300.416666666667</v>
      </c>
      <c r="Q41" s="15" t="n">
        <f aca="false">Q38+Q40</f>
        <v>300.416666666667</v>
      </c>
      <c r="R41" s="15" t="n">
        <f aca="false">R38+R40</f>
        <v>300.416666666667</v>
      </c>
      <c r="S41" s="15" t="n">
        <f aca="false">S38+S40</f>
        <v>300.416666666667</v>
      </c>
      <c r="T41" s="15" t="n">
        <f aca="false">T38+T40</f>
        <v>300.416666666667</v>
      </c>
      <c r="U41" s="15" t="n">
        <f aca="false">U38+U40</f>
        <v>300.416666666667</v>
      </c>
      <c r="V41" s="15" t="n">
        <f aca="false">V38+V40</f>
        <v>300.416666666667</v>
      </c>
      <c r="W41" s="15" t="n">
        <f aca="false">W38+W40</f>
        <v>300.416666666667</v>
      </c>
      <c r="X41" s="15" t="n">
        <f aca="false">X38+X40</f>
        <v>300.416666666667</v>
      </c>
      <c r="Y41" s="15" t="n">
        <f aca="false">Y38+Y40</f>
        <v>300.416666666667</v>
      </c>
      <c r="Z41" s="15" t="n">
        <f aca="false">Z38+Z40</f>
        <v>300.416666666667</v>
      </c>
      <c r="AA41" s="15" t="n">
        <f aca="false">AA38+AA40</f>
        <v>309.429166666667</v>
      </c>
      <c r="AB41" s="15" t="n">
        <f aca="false">AB38+AB40</f>
        <v>309.429166666667</v>
      </c>
      <c r="AC41" s="15" t="n">
        <f aca="false">AC38+AC40</f>
        <v>309.429166666667</v>
      </c>
      <c r="AD41" s="15" t="n">
        <f aca="false">AD38+AD40</f>
        <v>309.429166666667</v>
      </c>
      <c r="AE41" s="15" t="n">
        <f aca="false">AE38+AE40</f>
        <v>309.429166666667</v>
      </c>
      <c r="AF41" s="15" t="n">
        <f aca="false">AF38+AF40</f>
        <v>309.429166666667</v>
      </c>
      <c r="AG41" s="15" t="n">
        <f aca="false">AG38+AG40</f>
        <v>309.429166666667</v>
      </c>
      <c r="AH41" s="15" t="n">
        <f aca="false">AH38+AH40</f>
        <v>309.429166666667</v>
      </c>
      <c r="AI41" s="15" t="n">
        <f aca="false">AI38+AI40</f>
        <v>309.429166666667</v>
      </c>
      <c r="AJ41" s="15" t="n">
        <f aca="false">AJ38+AJ40</f>
        <v>309.429166666667</v>
      </c>
      <c r="AK41" s="15" t="n">
        <f aca="false">AK38+AK40</f>
        <v>309.429166666667</v>
      </c>
      <c r="AL41" s="15" t="n">
        <f aca="false">AL38+AL40</f>
        <v>309.429166666667</v>
      </c>
    </row>
    <row r="42" customFormat="false" ht="15" hidden="false" customHeight="false" outlineLevel="0" collapsed="false">
      <c r="A42" s="11" t="s">
        <v>151</v>
      </c>
      <c r="C42" s="19" t="n">
        <f aca="false">C41</f>
        <v>1905791.66666667</v>
      </c>
      <c r="D42" s="19" t="n">
        <f aca="false">C42+D41</f>
        <v>1906083.33333333</v>
      </c>
      <c r="E42" s="19" t="n">
        <f aca="false">D42+E41</f>
        <v>1906375</v>
      </c>
      <c r="F42" s="19" t="n">
        <f aca="false">E42+F41</f>
        <v>1906666.66666667</v>
      </c>
      <c r="G42" s="19" t="n">
        <f aca="false">F42+G41</f>
        <v>1906958.33333333</v>
      </c>
      <c r="H42" s="19" t="n">
        <f aca="false">G42+H41</f>
        <v>1907250</v>
      </c>
      <c r="I42" s="19" t="n">
        <f aca="false">H42+I41</f>
        <v>1907541.66666667</v>
      </c>
      <c r="J42" s="19" t="n">
        <f aca="false">I42+J41</f>
        <v>1907833.33333333</v>
      </c>
      <c r="K42" s="19" t="n">
        <f aca="false">J42+K41</f>
        <v>1908125</v>
      </c>
      <c r="L42" s="19" t="n">
        <f aca="false">K42+L41</f>
        <v>1908416.66666667</v>
      </c>
      <c r="M42" s="19" t="n">
        <f aca="false">L42+M41</f>
        <v>1908708.33333333</v>
      </c>
      <c r="N42" s="19" t="n">
        <f aca="false">M42+N41</f>
        <v>1909000</v>
      </c>
      <c r="O42" s="19" t="n">
        <f aca="false">N42+O41</f>
        <v>1909300.41666667</v>
      </c>
      <c r="P42" s="19" t="n">
        <f aca="false">O42+P41</f>
        <v>1909600.83333333</v>
      </c>
      <c r="Q42" s="19" t="n">
        <f aca="false">P42+Q41</f>
        <v>1909901.25</v>
      </c>
      <c r="R42" s="19" t="n">
        <f aca="false">Q42+R41</f>
        <v>1910201.66666667</v>
      </c>
      <c r="S42" s="19" t="n">
        <f aca="false">R42+S41</f>
        <v>1910502.08333333</v>
      </c>
      <c r="T42" s="19" t="n">
        <f aca="false">S42+T41</f>
        <v>1910802.5</v>
      </c>
      <c r="U42" s="19" t="n">
        <f aca="false">T42+U41</f>
        <v>1911102.91666667</v>
      </c>
      <c r="V42" s="19" t="n">
        <f aca="false">U42+V41</f>
        <v>1911403.33333334</v>
      </c>
      <c r="W42" s="19" t="n">
        <f aca="false">V42+W41</f>
        <v>1911703.75</v>
      </c>
      <c r="X42" s="19" t="n">
        <f aca="false">W42+X41</f>
        <v>1912004.16666667</v>
      </c>
      <c r="Y42" s="19" t="n">
        <f aca="false">X42+Y41</f>
        <v>1912304.58333334</v>
      </c>
      <c r="Z42" s="19" t="n">
        <f aca="false">Y42+Z41</f>
        <v>1912605</v>
      </c>
      <c r="AA42" s="19" t="n">
        <f aca="false">Z42+AA41</f>
        <v>1912914.42916667</v>
      </c>
      <c r="AB42" s="19" t="n">
        <f aca="false">AA42+AB41</f>
        <v>1913223.85833334</v>
      </c>
      <c r="AC42" s="19" t="n">
        <f aca="false">AB42+AC41</f>
        <v>1913533.2875</v>
      </c>
      <c r="AD42" s="19" t="n">
        <f aca="false">AC42+AD41</f>
        <v>1913842.71666667</v>
      </c>
      <c r="AE42" s="19" t="n">
        <f aca="false">AD42+AE41</f>
        <v>1914152.14583334</v>
      </c>
      <c r="AF42" s="19" t="n">
        <f aca="false">AE42+AF41</f>
        <v>1914461.575</v>
      </c>
      <c r="AG42" s="19" t="n">
        <f aca="false">AF42+AG41</f>
        <v>1914771.00416667</v>
      </c>
      <c r="AH42" s="19" t="n">
        <f aca="false">AG42+AH41</f>
        <v>1915080.43333334</v>
      </c>
      <c r="AI42" s="19" t="n">
        <f aca="false">AH42+AI41</f>
        <v>1915389.8625</v>
      </c>
      <c r="AJ42" s="19" t="n">
        <f aca="false">AI42+AJ41</f>
        <v>1915699.29166667</v>
      </c>
      <c r="AK42" s="19" t="n">
        <f aca="false">AJ42+AK41</f>
        <v>1916008.72083334</v>
      </c>
      <c r="AL42" s="19" t="n">
        <f aca="false">AK42+AL41</f>
        <v>1916318.15</v>
      </c>
    </row>
    <row r="43" customFormat="false" ht="15" hidden="false" customHeight="false" outlineLevel="0" collapsed="false">
      <c r="A43" s="11" t="s">
        <v>152</v>
      </c>
      <c r="C43" s="19" t="n">
        <f aca="false">C39</f>
        <v>370000</v>
      </c>
      <c r="D43" s="19" t="n">
        <f aca="false">C43+D39</f>
        <v>370000</v>
      </c>
      <c r="E43" s="19" t="n">
        <f aca="false">D43+E39</f>
        <v>370000</v>
      </c>
      <c r="F43" s="19" t="n">
        <f aca="false">E43+F39</f>
        <v>370000</v>
      </c>
      <c r="G43" s="19" t="n">
        <f aca="false">F43+G39</f>
        <v>370000</v>
      </c>
      <c r="H43" s="19" t="n">
        <f aca="false">G43+H39</f>
        <v>370000</v>
      </c>
      <c r="I43" s="19" t="n">
        <f aca="false">H43+I39</f>
        <v>370000</v>
      </c>
      <c r="J43" s="19" t="n">
        <f aca="false">I43+J39</f>
        <v>370000</v>
      </c>
      <c r="K43" s="19" t="n">
        <f aca="false">J43+K39</f>
        <v>370000</v>
      </c>
      <c r="L43" s="19" t="n">
        <f aca="false">K43+L39</f>
        <v>370000</v>
      </c>
      <c r="M43" s="19" t="n">
        <f aca="false">L43+M39</f>
        <v>370000</v>
      </c>
      <c r="N43" s="19" t="n">
        <f aca="false">M43+N39</f>
        <v>370000</v>
      </c>
      <c r="O43" s="19" t="n">
        <f aca="false">N43+O39</f>
        <v>370000</v>
      </c>
      <c r="P43" s="19" t="n">
        <f aca="false">O43+P39</f>
        <v>370000</v>
      </c>
      <c r="Q43" s="19" t="n">
        <f aca="false">P43+Q39</f>
        <v>370000</v>
      </c>
      <c r="R43" s="19" t="n">
        <f aca="false">Q43+R39</f>
        <v>370000</v>
      </c>
      <c r="S43" s="19" t="n">
        <f aca="false">R43+S39</f>
        <v>370000</v>
      </c>
      <c r="T43" s="19" t="n">
        <f aca="false">S43+T39</f>
        <v>370000</v>
      </c>
      <c r="U43" s="19" t="n">
        <f aca="false">T43+U39</f>
        <v>370000</v>
      </c>
      <c r="V43" s="19" t="n">
        <f aca="false">U43+V39</f>
        <v>370000</v>
      </c>
      <c r="W43" s="19" t="n">
        <f aca="false">V43+W39</f>
        <v>370000</v>
      </c>
      <c r="X43" s="19" t="n">
        <f aca="false">W43+X39</f>
        <v>370000</v>
      </c>
      <c r="Y43" s="19" t="n">
        <f aca="false">X43+Y39</f>
        <v>370000</v>
      </c>
      <c r="Z43" s="19" t="n">
        <f aca="false">Y43+Z39</f>
        <v>370000</v>
      </c>
      <c r="AA43" s="19" t="n">
        <f aca="false">Z43+AA39</f>
        <v>370000</v>
      </c>
      <c r="AB43" s="19" t="n">
        <f aca="false">AA43+AB39</f>
        <v>370000</v>
      </c>
      <c r="AC43" s="19" t="n">
        <f aca="false">AB43+AC39</f>
        <v>370000</v>
      </c>
      <c r="AD43" s="19" t="n">
        <f aca="false">AC43+AD39</f>
        <v>370000</v>
      </c>
      <c r="AE43" s="19" t="n">
        <f aca="false">AD43+AE39</f>
        <v>370000</v>
      </c>
      <c r="AF43" s="19" t="n">
        <f aca="false">AE43+AF39</f>
        <v>370000</v>
      </c>
      <c r="AG43" s="19" t="n">
        <f aca="false">AF43+AG39</f>
        <v>370000</v>
      </c>
      <c r="AH43" s="19" t="n">
        <f aca="false">AG43+AH39</f>
        <v>370000</v>
      </c>
      <c r="AI43" s="19" t="n">
        <f aca="false">AH43+AI39</f>
        <v>370000</v>
      </c>
      <c r="AJ43" s="19" t="n">
        <f aca="false">AI43+AJ39</f>
        <v>370000</v>
      </c>
      <c r="AK43" s="19" t="n">
        <f aca="false">AJ43+AK39</f>
        <v>370000</v>
      </c>
      <c r="AL43" s="19" t="n">
        <f aca="false">AK43+AL39</f>
        <v>370000</v>
      </c>
    </row>
    <row r="44" customFormat="false" ht="15" hidden="false" customHeight="false" outlineLevel="0" collapsed="false">
      <c r="A44" s="11" t="s">
        <v>153</v>
      </c>
      <c r="C44" s="19" t="n">
        <f aca="false">-MIN((C42-C43)/MAX(1,Inputs!$E$45*12),C41-C43)</f>
        <v>-4740.09773662552</v>
      </c>
      <c r="D44" s="19" t="n">
        <f aca="false">-MIN((D42-D43)/MAX(1,Inputs!$E$45*12),C46+D41-D43)</f>
        <v>-4740.99794238683</v>
      </c>
      <c r="E44" s="19" t="n">
        <f aca="false">-MIN((E42-E43)/MAX(1,Inputs!$E$45*12),D46+E41-E43)</f>
        <v>-4741.89814814815</v>
      </c>
      <c r="F44" s="19" t="n">
        <f aca="false">-MIN((F42-F43)/MAX(1,Inputs!$E$45*12),E46+F41-F43)</f>
        <v>-4742.79835390947</v>
      </c>
      <c r="G44" s="19" t="n">
        <f aca="false">-MIN((G42-G43)/MAX(1,Inputs!$E$45*12),F46+G41-G43)</f>
        <v>-4743.69855967078</v>
      </c>
      <c r="H44" s="19" t="n">
        <f aca="false">-MIN((H42-H43)/MAX(1,Inputs!$E$45*12),G46+H41-H43)</f>
        <v>-4744.5987654321</v>
      </c>
      <c r="I44" s="19" t="n">
        <f aca="false">-MIN((I42-I43)/MAX(1,Inputs!$E$45*12),H46+I41-I43)</f>
        <v>-4745.49897119342</v>
      </c>
      <c r="J44" s="19" t="n">
        <f aca="false">-MIN((J42-J43)/MAX(1,Inputs!$E$45*12),I46+J41-J43)</f>
        <v>-4746.39917695474</v>
      </c>
      <c r="K44" s="19" t="n">
        <f aca="false">-MIN((K42-K43)/MAX(1,Inputs!$E$45*12),J46+K41-K43)</f>
        <v>-4747.29938271605</v>
      </c>
      <c r="L44" s="19" t="n">
        <f aca="false">-MIN((L42-L43)/MAX(1,Inputs!$E$45*12),K46+L41-L43)</f>
        <v>-4748.19958847737</v>
      </c>
      <c r="M44" s="19" t="n">
        <f aca="false">-MIN((M42-M43)/MAX(1,Inputs!$E$45*12),L46+M41-M43)</f>
        <v>-4749.09979423869</v>
      </c>
      <c r="N44" s="19" t="n">
        <f aca="false">-MIN((N42-N43)/MAX(1,Inputs!$E$45*12),M46+N41-N43)</f>
        <v>-4750</v>
      </c>
      <c r="O44" s="19" t="n">
        <f aca="false">-MIN((O42-O43)/MAX(1,Inputs!$E$45*12),N46+O41-O43)</f>
        <v>-4750.92721193416</v>
      </c>
      <c r="P44" s="19" t="n">
        <f aca="false">-MIN((P42-P43)/MAX(1,Inputs!$E$45*12),O46+P41-P43)</f>
        <v>-4751.85442386832</v>
      </c>
      <c r="Q44" s="19" t="n">
        <f aca="false">-MIN((Q42-Q43)/MAX(1,Inputs!$E$45*12),P46+Q41-Q43)</f>
        <v>-4752.78163580247</v>
      </c>
      <c r="R44" s="19" t="n">
        <f aca="false">-MIN((R42-R43)/MAX(1,Inputs!$E$45*12),Q46+R41-R43)</f>
        <v>-4753.70884773663</v>
      </c>
      <c r="S44" s="19" t="n">
        <f aca="false">-MIN((S42-S43)/MAX(1,Inputs!$E$45*12),R46+S41-S43)</f>
        <v>-4754.63605967079</v>
      </c>
      <c r="T44" s="19" t="n">
        <f aca="false">-MIN((T42-T43)/MAX(1,Inputs!$E$45*12),S46+T41-T43)</f>
        <v>-4755.56327160494</v>
      </c>
      <c r="U44" s="19" t="n">
        <f aca="false">-MIN((U42-U43)/MAX(1,Inputs!$E$45*12),T46+U41-U43)</f>
        <v>-4756.4904835391</v>
      </c>
      <c r="V44" s="19" t="n">
        <f aca="false">-MIN((V42-V43)/MAX(1,Inputs!$E$45*12),U46+V41-V43)</f>
        <v>-4757.41769547326</v>
      </c>
      <c r="W44" s="19" t="n">
        <f aca="false">-MIN((W42-W43)/MAX(1,Inputs!$E$45*12),V46+W41-W43)</f>
        <v>-4758.34490740741</v>
      </c>
      <c r="X44" s="19" t="n">
        <f aca="false">-MIN((X42-X43)/MAX(1,Inputs!$E$45*12),W46+X41-X43)</f>
        <v>-4759.27211934157</v>
      </c>
      <c r="Y44" s="19" t="n">
        <f aca="false">-MIN((Y42-Y43)/MAX(1,Inputs!$E$45*12),X46+Y41-Y43)</f>
        <v>-4760.19933127573</v>
      </c>
      <c r="Z44" s="19" t="n">
        <f aca="false">-MIN((Z42-Z43)/MAX(1,Inputs!$E$45*12),Y46+Z41-Z43)</f>
        <v>-4761.12654320988</v>
      </c>
      <c r="AA44" s="19" t="n">
        <f aca="false">-MIN((AA42-AA43)/MAX(1,Inputs!$E$45*12),Z46+AA41-AA43)</f>
        <v>-4762.08157150206</v>
      </c>
      <c r="AB44" s="19" t="n">
        <f aca="false">-MIN((AB42-AB43)/MAX(1,Inputs!$E$45*12),AA46+AB41-AB43)</f>
        <v>-4763.03659979424</v>
      </c>
      <c r="AC44" s="19" t="n">
        <f aca="false">-MIN((AC42-AC43)/MAX(1,Inputs!$E$45*12),AB46+AC41-AC43)</f>
        <v>-4763.99162808643</v>
      </c>
      <c r="AD44" s="19" t="n">
        <f aca="false">-MIN((AD42-AD43)/MAX(1,Inputs!$E$45*12),AC46+AD41-AD43)</f>
        <v>-4764.94665637861</v>
      </c>
      <c r="AE44" s="19" t="n">
        <f aca="false">-MIN((AE42-AE43)/MAX(1,Inputs!$E$45*12),AD46+AE41-AE43)</f>
        <v>-4765.90168467079</v>
      </c>
      <c r="AF44" s="19" t="n">
        <f aca="false">-MIN((AF42-AF43)/MAX(1,Inputs!$E$45*12),AE46+AF41-AF43)</f>
        <v>-4766.85671296297</v>
      </c>
      <c r="AG44" s="19" t="n">
        <f aca="false">-MIN((AG42-AG43)/MAX(1,Inputs!$E$45*12),AF46+AG41-AG43)</f>
        <v>-4767.81174125515</v>
      </c>
      <c r="AH44" s="19" t="n">
        <f aca="false">-MIN((AH42-AH43)/MAX(1,Inputs!$E$45*12),AG46+AH41-AH43)</f>
        <v>-4768.76676954733</v>
      </c>
      <c r="AI44" s="19" t="n">
        <f aca="false">-MIN((AI42-AI43)/MAX(1,Inputs!$E$45*12),AH46+AI41-AI43)</f>
        <v>-4769.72179783951</v>
      </c>
      <c r="AJ44" s="19" t="n">
        <f aca="false">-MIN((AJ42-AJ43)/MAX(1,Inputs!$E$45*12),AI46+AJ41-AJ43)</f>
        <v>-4770.67682613169</v>
      </c>
      <c r="AK44" s="19" t="n">
        <f aca="false">-MIN((AK42-AK43)/MAX(1,Inputs!$E$45*12),AJ46+AK41-AK43)</f>
        <v>-4771.63185442388</v>
      </c>
      <c r="AL44" s="19" t="n">
        <f aca="false">-MIN((AL42-AL43)/MAX(1,Inputs!$E$45*12),AK46+AL41-AL43)</f>
        <v>-4772.58688271606</v>
      </c>
    </row>
    <row r="45" customFormat="false" ht="15" hidden="false" customHeight="false" outlineLevel="0" collapsed="false">
      <c r="A45" s="11" t="s">
        <v>154</v>
      </c>
      <c r="C45" s="19" t="n">
        <f aca="false">C44</f>
        <v>-4740.09773662552</v>
      </c>
      <c r="D45" s="19" t="n">
        <f aca="false">C45+D44</f>
        <v>-9481.09567901235</v>
      </c>
      <c r="E45" s="19" t="n">
        <f aca="false">D45+E44</f>
        <v>-14222.9938271605</v>
      </c>
      <c r="F45" s="19" t="n">
        <f aca="false">E45+F44</f>
        <v>-18965.79218107</v>
      </c>
      <c r="G45" s="19" t="n">
        <f aca="false">F45+G44</f>
        <v>-23709.4907407407</v>
      </c>
      <c r="H45" s="19" t="n">
        <f aca="false">G45+H44</f>
        <v>-28454.0895061728</v>
      </c>
      <c r="I45" s="19" t="n">
        <f aca="false">H45+I44</f>
        <v>-33199.5884773663</v>
      </c>
      <c r="J45" s="19" t="n">
        <f aca="false">I45+J44</f>
        <v>-37945.987654321</v>
      </c>
      <c r="K45" s="19" t="n">
        <f aca="false">J45+K44</f>
        <v>-42693.2870370371</v>
      </c>
      <c r="L45" s="19" t="n">
        <f aca="false">K45+L44</f>
        <v>-47441.4866255144</v>
      </c>
      <c r="M45" s="19" t="n">
        <f aca="false">L45+M44</f>
        <v>-52190.5864197531</v>
      </c>
      <c r="N45" s="19" t="n">
        <f aca="false">M45+N44</f>
        <v>-56940.5864197531</v>
      </c>
      <c r="O45" s="19" t="n">
        <f aca="false">N45+O44</f>
        <v>-61691.5136316873</v>
      </c>
      <c r="P45" s="19" t="n">
        <f aca="false">O45+P44</f>
        <v>-66443.3680555556</v>
      </c>
      <c r="Q45" s="19" t="n">
        <f aca="false">P45+Q44</f>
        <v>-71196.1496913581</v>
      </c>
      <c r="R45" s="19" t="n">
        <f aca="false">Q45+R44</f>
        <v>-75949.8585390947</v>
      </c>
      <c r="S45" s="19" t="n">
        <f aca="false">R45+S44</f>
        <v>-80704.4945987655</v>
      </c>
      <c r="T45" s="19" t="n">
        <f aca="false">S45+T44</f>
        <v>-85460.0578703704</v>
      </c>
      <c r="U45" s="19" t="n">
        <f aca="false">T45+U44</f>
        <v>-90216.5483539095</v>
      </c>
      <c r="V45" s="19" t="n">
        <f aca="false">U45+V44</f>
        <v>-94973.9660493828</v>
      </c>
      <c r="W45" s="19" t="n">
        <f aca="false">V45+W44</f>
        <v>-99732.3109567902</v>
      </c>
      <c r="X45" s="19" t="n">
        <f aca="false">W45+X44</f>
        <v>-104491.583076132</v>
      </c>
      <c r="Y45" s="19" t="n">
        <f aca="false">X45+Y44</f>
        <v>-109251.782407407</v>
      </c>
      <c r="Z45" s="19" t="n">
        <f aca="false">Y45+Z44</f>
        <v>-114012.908950617</v>
      </c>
      <c r="AA45" s="19" t="n">
        <f aca="false">Z45+AA44</f>
        <v>-118774.990522119</v>
      </c>
      <c r="AB45" s="19" t="n">
        <f aca="false">AA45+AB44</f>
        <v>-123538.027121914</v>
      </c>
      <c r="AC45" s="19" t="n">
        <f aca="false">AB45+AC44</f>
        <v>-128302.01875</v>
      </c>
      <c r="AD45" s="19" t="n">
        <f aca="false">AC45+AD44</f>
        <v>-133066.965406379</v>
      </c>
      <c r="AE45" s="19" t="n">
        <f aca="false">AD45+AE44</f>
        <v>-137832.86709105</v>
      </c>
      <c r="AF45" s="19" t="n">
        <f aca="false">AE45+AF44</f>
        <v>-142599.723804012</v>
      </c>
      <c r="AG45" s="19" t="n">
        <f aca="false">AF45+AG44</f>
        <v>-147367.535545268</v>
      </c>
      <c r="AH45" s="19" t="n">
        <f aca="false">AG45+AH44</f>
        <v>-152136.302314815</v>
      </c>
      <c r="AI45" s="19" t="n">
        <f aca="false">AH45+AI44</f>
        <v>-156906.024112654</v>
      </c>
      <c r="AJ45" s="19" t="n">
        <f aca="false">AI45+AJ44</f>
        <v>-161676.700938786</v>
      </c>
      <c r="AK45" s="19" t="n">
        <f aca="false">AJ45+AK44</f>
        <v>-166448.33279321</v>
      </c>
      <c r="AL45" s="19" t="n">
        <f aca="false">AK45+AL44</f>
        <v>-171220.919675926</v>
      </c>
    </row>
    <row r="46" customFormat="false" ht="15" hidden="false" customHeight="false" outlineLevel="0" collapsed="false">
      <c r="A46" s="4" t="s">
        <v>155</v>
      </c>
      <c r="C46" s="15" t="n">
        <f aca="false">C42+C45</f>
        <v>1901051.56893004</v>
      </c>
      <c r="D46" s="15" t="n">
        <f aca="false">D42+D45</f>
        <v>1896602.23765432</v>
      </c>
      <c r="E46" s="15" t="n">
        <f aca="false">E42+E45</f>
        <v>1892152.00617284</v>
      </c>
      <c r="F46" s="15" t="n">
        <f aca="false">F42+F45</f>
        <v>1887700.8744856</v>
      </c>
      <c r="G46" s="15" t="n">
        <f aca="false">G42+G45</f>
        <v>1883248.84259259</v>
      </c>
      <c r="H46" s="15" t="n">
        <f aca="false">H42+H45</f>
        <v>1878795.91049383</v>
      </c>
      <c r="I46" s="15" t="n">
        <f aca="false">I42+I45</f>
        <v>1874342.0781893</v>
      </c>
      <c r="J46" s="15" t="n">
        <f aca="false">J42+J45</f>
        <v>1869887.34567901</v>
      </c>
      <c r="K46" s="15" t="n">
        <f aca="false">K42+K45</f>
        <v>1865431.71296296</v>
      </c>
      <c r="L46" s="15" t="n">
        <f aca="false">L42+L45</f>
        <v>1860975.18004115</v>
      </c>
      <c r="M46" s="15" t="n">
        <f aca="false">M42+M45</f>
        <v>1856517.74691358</v>
      </c>
      <c r="N46" s="15" t="n">
        <f aca="false">N42+N45</f>
        <v>1852059.41358025</v>
      </c>
      <c r="O46" s="15" t="n">
        <f aca="false">O42+O45</f>
        <v>1847608.90303498</v>
      </c>
      <c r="P46" s="15" t="n">
        <f aca="false">P42+P45</f>
        <v>1843157.46527778</v>
      </c>
      <c r="Q46" s="15" t="n">
        <f aca="false">Q42+Q45</f>
        <v>1838705.10030864</v>
      </c>
      <c r="R46" s="15" t="n">
        <f aca="false">R42+R45</f>
        <v>1834251.80812757</v>
      </c>
      <c r="S46" s="15" t="n">
        <f aca="false">S42+S45</f>
        <v>1829797.58873457</v>
      </c>
      <c r="T46" s="15" t="n">
        <f aca="false">T42+T45</f>
        <v>1825342.44212963</v>
      </c>
      <c r="U46" s="15" t="n">
        <f aca="false">U42+U45</f>
        <v>1820886.36831276</v>
      </c>
      <c r="V46" s="15" t="n">
        <f aca="false">V42+V45</f>
        <v>1816429.36728395</v>
      </c>
      <c r="W46" s="15" t="n">
        <f aca="false">W42+W45</f>
        <v>1811971.43904321</v>
      </c>
      <c r="X46" s="15" t="n">
        <f aca="false">X42+X45</f>
        <v>1807512.58359054</v>
      </c>
      <c r="Y46" s="15" t="n">
        <f aca="false">Y42+Y45</f>
        <v>1803052.80092593</v>
      </c>
      <c r="Z46" s="15" t="n">
        <f aca="false">Z42+Z45</f>
        <v>1798592.09104938</v>
      </c>
      <c r="AA46" s="15" t="n">
        <f aca="false">AA42+AA45</f>
        <v>1794139.43864455</v>
      </c>
      <c r="AB46" s="15" t="n">
        <f aca="false">AB42+AB45</f>
        <v>1789685.83121142</v>
      </c>
      <c r="AC46" s="15" t="n">
        <f aca="false">AC42+AC45</f>
        <v>1785231.26875</v>
      </c>
      <c r="AD46" s="15" t="n">
        <f aca="false">AD42+AD45</f>
        <v>1780775.75126029</v>
      </c>
      <c r="AE46" s="15" t="n">
        <f aca="false">AE42+AE45</f>
        <v>1776319.27874229</v>
      </c>
      <c r="AF46" s="15" t="n">
        <f aca="false">AF42+AF45</f>
        <v>1771861.85119599</v>
      </c>
      <c r="AG46" s="15" t="n">
        <f aca="false">AG42+AG45</f>
        <v>1767403.4686214</v>
      </c>
      <c r="AH46" s="15" t="n">
        <f aca="false">AH42+AH45</f>
        <v>1762944.13101852</v>
      </c>
      <c r="AI46" s="15" t="n">
        <f aca="false">AI42+AI45</f>
        <v>1758483.83838735</v>
      </c>
      <c r="AJ46" s="15" t="n">
        <f aca="false">AJ42+AJ45</f>
        <v>1754022.59072788</v>
      </c>
      <c r="AK46" s="15" t="n">
        <f aca="false">AK42+AK45</f>
        <v>1749560.38804013</v>
      </c>
      <c r="AL46" s="15" t="n">
        <f aca="false">AL42+AL45</f>
        <v>1745097.23032408</v>
      </c>
    </row>
    <row r="48" customFormat="false" ht="15" hidden="false" customHeight="false" outlineLevel="0" collapsed="false">
      <c r="A48" s="7" t="s">
        <v>156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customFormat="false" ht="15" hidden="false" customHeight="false" outlineLevel="0" collapsed="false">
      <c r="A49" s="11" t="s">
        <v>157</v>
      </c>
      <c r="C49" s="19" t="n">
        <f aca="false">0</f>
        <v>0</v>
      </c>
      <c r="D49" s="19" t="n">
        <f aca="false">C54</f>
        <v>1198915.18371808</v>
      </c>
      <c r="E49" s="19" t="n">
        <f aca="false">D54</f>
        <v>1197824.49134798</v>
      </c>
      <c r="F49" s="19" t="n">
        <f aca="false">E54</f>
        <v>1196727.89106086</v>
      </c>
      <c r="G49" s="19" t="n">
        <f aca="false">F54</f>
        <v>1195625.35085553</v>
      </c>
      <c r="H49" s="19" t="n">
        <f aca="false">G54</f>
        <v>1194516.83855741</v>
      </c>
      <c r="I49" s="19" t="n">
        <f aca="false">H54</f>
        <v>1193402.32181768</v>
      </c>
      <c r="J49" s="19" t="n">
        <f aca="false">I54</f>
        <v>1192281.76811228</v>
      </c>
      <c r="K49" s="19" t="n">
        <f aca="false">J54</f>
        <v>1191155.14474097</v>
      </c>
      <c r="L49" s="19" t="n">
        <f aca="false">K54</f>
        <v>1190022.4188264</v>
      </c>
      <c r="M49" s="19" t="n">
        <f aca="false">L54</f>
        <v>1188883.55731313</v>
      </c>
      <c r="N49" s="19" t="n">
        <f aca="false">M54</f>
        <v>1187738.52696666</v>
      </c>
      <c r="O49" s="19" t="n">
        <f aca="false">N54</f>
        <v>1186587.29437248</v>
      </c>
      <c r="P49" s="19" t="n">
        <f aca="false">O54</f>
        <v>1185429.82593508</v>
      </c>
      <c r="Q49" s="19" t="n">
        <f aca="false">P54</f>
        <v>1184266.08787698</v>
      </c>
      <c r="R49" s="19" t="n">
        <f aca="false">Q54</f>
        <v>1183096.04623773</v>
      </c>
      <c r="S49" s="19" t="n">
        <f aca="false">R54</f>
        <v>1181919.66687294</v>
      </c>
      <c r="T49" s="19" t="n">
        <f aca="false">S54</f>
        <v>1180736.91545325</v>
      </c>
      <c r="U49" s="19" t="n">
        <f aca="false">T54</f>
        <v>1179547.75746337</v>
      </c>
      <c r="V49" s="19" t="n">
        <f aca="false">U54</f>
        <v>1178352.15820105</v>
      </c>
      <c r="W49" s="19" t="n">
        <f aca="false">V54</f>
        <v>1177150.08277606</v>
      </c>
      <c r="X49" s="19" t="n">
        <f aca="false">W54</f>
        <v>1175941.49610918</v>
      </c>
      <c r="Y49" s="19" t="n">
        <f aca="false">X54</f>
        <v>1174726.36293119</v>
      </c>
      <c r="Z49" s="19" t="n">
        <f aca="false">Y54</f>
        <v>1173504.64778182</v>
      </c>
      <c r="AA49" s="19" t="n">
        <f aca="false">Z54</f>
        <v>1172276.31500872</v>
      </c>
      <c r="AB49" s="19" t="n">
        <f aca="false">AA54</f>
        <v>1171041.32876644</v>
      </c>
      <c r="AC49" s="19" t="n">
        <f aca="false">AB54</f>
        <v>1169799.65301534</v>
      </c>
      <c r="AD49" s="19" t="n">
        <f aca="false">AC54</f>
        <v>1168551.25152059</v>
      </c>
      <c r="AE49" s="19" t="n">
        <f aca="false">AD54</f>
        <v>1167296.08785108</v>
      </c>
      <c r="AF49" s="19" t="n">
        <f aca="false">AE54</f>
        <v>1166034.12537835</v>
      </c>
      <c r="AG49" s="19" t="n">
        <f aca="false">AF54</f>
        <v>1164765.32727557</v>
      </c>
      <c r="AH49" s="19" t="n">
        <f aca="false">AG54</f>
        <v>1163489.6565164</v>
      </c>
      <c r="AI49" s="19" t="n">
        <f aca="false">AH54</f>
        <v>1162207.07587395</v>
      </c>
      <c r="AJ49" s="19" t="n">
        <f aca="false">AI54</f>
        <v>1160917.54791968</v>
      </c>
      <c r="AK49" s="19" t="n">
        <f aca="false">AJ54</f>
        <v>1159621.03502233</v>
      </c>
      <c r="AL49" s="19" t="n">
        <f aca="false">AK54</f>
        <v>1158317.49934679</v>
      </c>
    </row>
    <row r="50" customFormat="false" ht="15" hidden="false" customHeight="false" outlineLevel="0" collapsed="false">
      <c r="A50" s="11" t="s">
        <v>158</v>
      </c>
      <c r="C50" s="19" t="n">
        <f aca="false">IF(C$4=1,Inputs!$E$35,0)</f>
        <v>1200000</v>
      </c>
      <c r="D50" s="19" t="n">
        <f aca="false">IF(D$4=1,Inputs!$E$35,0)</f>
        <v>0</v>
      </c>
      <c r="E50" s="19" t="n">
        <f aca="false">IF(E$4=1,Inputs!$E$35,0)</f>
        <v>0</v>
      </c>
      <c r="F50" s="19" t="n">
        <f aca="false">IF(F$4=1,Inputs!$E$35,0)</f>
        <v>0</v>
      </c>
      <c r="G50" s="19" t="n">
        <f aca="false">IF(G$4=1,Inputs!$E$35,0)</f>
        <v>0</v>
      </c>
      <c r="H50" s="19" t="n">
        <f aca="false">IF(H$4=1,Inputs!$E$35,0)</f>
        <v>0</v>
      </c>
      <c r="I50" s="19" t="n">
        <f aca="false">IF(I$4=1,Inputs!$E$35,0)</f>
        <v>0</v>
      </c>
      <c r="J50" s="19" t="n">
        <f aca="false">IF(J$4=1,Inputs!$E$35,0)</f>
        <v>0</v>
      </c>
      <c r="K50" s="19" t="n">
        <f aca="false">IF(K$4=1,Inputs!$E$35,0)</f>
        <v>0</v>
      </c>
      <c r="L50" s="19" t="n">
        <f aca="false">IF(L$4=1,Inputs!$E$35,0)</f>
        <v>0</v>
      </c>
      <c r="M50" s="19" t="n">
        <f aca="false">IF(M$4=1,Inputs!$E$35,0)</f>
        <v>0</v>
      </c>
      <c r="N50" s="19" t="n">
        <f aca="false">IF(N$4=1,Inputs!$E$35,0)</f>
        <v>0</v>
      </c>
      <c r="O50" s="19" t="n">
        <f aca="false">IF(O$4=1,Inputs!$E$35,0)</f>
        <v>0</v>
      </c>
      <c r="P50" s="19" t="n">
        <f aca="false">IF(P$4=1,Inputs!$E$35,0)</f>
        <v>0</v>
      </c>
      <c r="Q50" s="19" t="n">
        <f aca="false">IF(Q$4=1,Inputs!$E$35,0)</f>
        <v>0</v>
      </c>
      <c r="R50" s="19" t="n">
        <f aca="false">IF(R$4=1,Inputs!$E$35,0)</f>
        <v>0</v>
      </c>
      <c r="S50" s="19" t="n">
        <f aca="false">IF(S$4=1,Inputs!$E$35,0)</f>
        <v>0</v>
      </c>
      <c r="T50" s="19" t="n">
        <f aca="false">IF(T$4=1,Inputs!$E$35,0)</f>
        <v>0</v>
      </c>
      <c r="U50" s="19" t="n">
        <f aca="false">IF(U$4=1,Inputs!$E$35,0)</f>
        <v>0</v>
      </c>
      <c r="V50" s="19" t="n">
        <f aca="false">IF(V$4=1,Inputs!$E$35,0)</f>
        <v>0</v>
      </c>
      <c r="W50" s="19" t="n">
        <f aca="false">IF(W$4=1,Inputs!$E$35,0)</f>
        <v>0</v>
      </c>
      <c r="X50" s="19" t="n">
        <f aca="false">IF(X$4=1,Inputs!$E$35,0)</f>
        <v>0</v>
      </c>
      <c r="Y50" s="19" t="n">
        <f aca="false">IF(Y$4=1,Inputs!$E$35,0)</f>
        <v>0</v>
      </c>
      <c r="Z50" s="19" t="n">
        <f aca="false">IF(Z$4=1,Inputs!$E$35,0)</f>
        <v>0</v>
      </c>
      <c r="AA50" s="19" t="n">
        <f aca="false">IF(AA$4=1,Inputs!$E$35,0)</f>
        <v>0</v>
      </c>
      <c r="AB50" s="19" t="n">
        <f aca="false">IF(AB$4=1,Inputs!$E$35,0)</f>
        <v>0</v>
      </c>
      <c r="AC50" s="19" t="n">
        <f aca="false">IF(AC$4=1,Inputs!$E$35,0)</f>
        <v>0</v>
      </c>
      <c r="AD50" s="19" t="n">
        <f aca="false">IF(AD$4=1,Inputs!$E$35,0)</f>
        <v>0</v>
      </c>
      <c r="AE50" s="19" t="n">
        <f aca="false">IF(AE$4=1,Inputs!$E$35,0)</f>
        <v>0</v>
      </c>
      <c r="AF50" s="19" t="n">
        <f aca="false">IF(AF$4=1,Inputs!$E$35,0)</f>
        <v>0</v>
      </c>
      <c r="AG50" s="19" t="n">
        <f aca="false">IF(AG$4=1,Inputs!$E$35,0)</f>
        <v>0</v>
      </c>
      <c r="AH50" s="19" t="n">
        <f aca="false">IF(AH$4=1,Inputs!$E$35,0)</f>
        <v>0</v>
      </c>
      <c r="AI50" s="19" t="n">
        <f aca="false">IF(AI$4=1,Inputs!$E$35,0)</f>
        <v>0</v>
      </c>
      <c r="AJ50" s="19" t="n">
        <f aca="false">IF(AJ$4=1,Inputs!$E$35,0)</f>
        <v>0</v>
      </c>
      <c r="AK50" s="19" t="n">
        <f aca="false">IF(AK$4=1,Inputs!$E$35,0)</f>
        <v>0</v>
      </c>
      <c r="AL50" s="19" t="n">
        <f aca="false">IF(AL$4=1,Inputs!$E$35,0)</f>
        <v>0</v>
      </c>
    </row>
    <row r="51" customFormat="false" ht="15" hidden="false" customHeight="false" outlineLevel="0" collapsed="false">
      <c r="A51" s="11" t="s">
        <v>159</v>
      </c>
      <c r="C51" s="19" t="n">
        <f aca="false">-PMT(Inputs!$E$36/12,MAX(1,Inputs!$E$37*12),Inputs!$E$35)</f>
        <v>7584.81628191557</v>
      </c>
      <c r="D51" s="19" t="n">
        <f aca="false">-PMT(Inputs!$E$36/12,MAX(1,Inputs!$E$37*12),Inputs!$E$35)</f>
        <v>7584.81628191557</v>
      </c>
      <c r="E51" s="19" t="n">
        <f aca="false">-PMT(Inputs!$E$36/12,MAX(1,Inputs!$E$37*12),Inputs!$E$35)</f>
        <v>7584.81628191557</v>
      </c>
      <c r="F51" s="19" t="n">
        <f aca="false">-PMT(Inputs!$E$36/12,MAX(1,Inputs!$E$37*12),Inputs!$E$35)</f>
        <v>7584.81628191557</v>
      </c>
      <c r="G51" s="19" t="n">
        <f aca="false">-PMT(Inputs!$E$36/12,MAX(1,Inputs!$E$37*12),Inputs!$E$35)</f>
        <v>7584.81628191557</v>
      </c>
      <c r="H51" s="19" t="n">
        <f aca="false">-PMT(Inputs!$E$36/12,MAX(1,Inputs!$E$37*12),Inputs!$E$35)</f>
        <v>7584.81628191557</v>
      </c>
      <c r="I51" s="19" t="n">
        <f aca="false">-PMT(Inputs!$E$36/12,MAX(1,Inputs!$E$37*12),Inputs!$E$35)</f>
        <v>7584.81628191557</v>
      </c>
      <c r="J51" s="19" t="n">
        <f aca="false">-PMT(Inputs!$E$36/12,MAX(1,Inputs!$E$37*12),Inputs!$E$35)</f>
        <v>7584.81628191557</v>
      </c>
      <c r="K51" s="19" t="n">
        <f aca="false">-PMT(Inputs!$E$36/12,MAX(1,Inputs!$E$37*12),Inputs!$E$35)</f>
        <v>7584.81628191557</v>
      </c>
      <c r="L51" s="19" t="n">
        <f aca="false">-PMT(Inputs!$E$36/12,MAX(1,Inputs!$E$37*12),Inputs!$E$35)</f>
        <v>7584.81628191557</v>
      </c>
      <c r="M51" s="19" t="n">
        <f aca="false">-PMT(Inputs!$E$36/12,MAX(1,Inputs!$E$37*12),Inputs!$E$35)</f>
        <v>7584.81628191557</v>
      </c>
      <c r="N51" s="19" t="n">
        <f aca="false">-PMT(Inputs!$E$36/12,MAX(1,Inputs!$E$37*12),Inputs!$E$35)</f>
        <v>7584.81628191557</v>
      </c>
      <c r="O51" s="19" t="n">
        <f aca="false">-PMT(Inputs!$E$36/12,MAX(1,Inputs!$E$37*12),Inputs!$E$35)</f>
        <v>7584.81628191557</v>
      </c>
      <c r="P51" s="19" t="n">
        <f aca="false">-PMT(Inputs!$E$36/12,MAX(1,Inputs!$E$37*12),Inputs!$E$35)</f>
        <v>7584.81628191557</v>
      </c>
      <c r="Q51" s="19" t="n">
        <f aca="false">-PMT(Inputs!$E$36/12,MAX(1,Inputs!$E$37*12),Inputs!$E$35)</f>
        <v>7584.81628191557</v>
      </c>
      <c r="R51" s="19" t="n">
        <f aca="false">-PMT(Inputs!$E$36/12,MAX(1,Inputs!$E$37*12),Inputs!$E$35)</f>
        <v>7584.81628191557</v>
      </c>
      <c r="S51" s="19" t="n">
        <f aca="false">-PMT(Inputs!$E$36/12,MAX(1,Inputs!$E$37*12),Inputs!$E$35)</f>
        <v>7584.81628191557</v>
      </c>
      <c r="T51" s="19" t="n">
        <f aca="false">-PMT(Inputs!$E$36/12,MAX(1,Inputs!$E$37*12),Inputs!$E$35)</f>
        <v>7584.81628191557</v>
      </c>
      <c r="U51" s="19" t="n">
        <f aca="false">-PMT(Inputs!$E$36/12,MAX(1,Inputs!$E$37*12),Inputs!$E$35)</f>
        <v>7584.81628191557</v>
      </c>
      <c r="V51" s="19" t="n">
        <f aca="false">-PMT(Inputs!$E$36/12,MAX(1,Inputs!$E$37*12),Inputs!$E$35)</f>
        <v>7584.81628191557</v>
      </c>
      <c r="W51" s="19" t="n">
        <f aca="false">-PMT(Inputs!$E$36/12,MAX(1,Inputs!$E$37*12),Inputs!$E$35)</f>
        <v>7584.81628191557</v>
      </c>
      <c r="X51" s="19" t="n">
        <f aca="false">-PMT(Inputs!$E$36/12,MAX(1,Inputs!$E$37*12),Inputs!$E$35)</f>
        <v>7584.81628191557</v>
      </c>
      <c r="Y51" s="19" t="n">
        <f aca="false">-PMT(Inputs!$E$36/12,MAX(1,Inputs!$E$37*12),Inputs!$E$35)</f>
        <v>7584.81628191557</v>
      </c>
      <c r="Z51" s="19" t="n">
        <f aca="false">-PMT(Inputs!$E$36/12,MAX(1,Inputs!$E$37*12),Inputs!$E$35)</f>
        <v>7584.81628191557</v>
      </c>
      <c r="AA51" s="19" t="n">
        <f aca="false">-PMT(Inputs!$E$36/12,MAX(1,Inputs!$E$37*12),Inputs!$E$35)</f>
        <v>7584.81628191557</v>
      </c>
      <c r="AB51" s="19" t="n">
        <f aca="false">-PMT(Inputs!$E$36/12,MAX(1,Inputs!$E$37*12),Inputs!$E$35)</f>
        <v>7584.81628191557</v>
      </c>
      <c r="AC51" s="19" t="n">
        <f aca="false">-PMT(Inputs!$E$36/12,MAX(1,Inputs!$E$37*12),Inputs!$E$35)</f>
        <v>7584.81628191557</v>
      </c>
      <c r="AD51" s="19" t="n">
        <f aca="false">-PMT(Inputs!$E$36/12,MAX(1,Inputs!$E$37*12),Inputs!$E$35)</f>
        <v>7584.81628191557</v>
      </c>
      <c r="AE51" s="19" t="n">
        <f aca="false">-PMT(Inputs!$E$36/12,MAX(1,Inputs!$E$37*12),Inputs!$E$35)</f>
        <v>7584.81628191557</v>
      </c>
      <c r="AF51" s="19" t="n">
        <f aca="false">-PMT(Inputs!$E$36/12,MAX(1,Inputs!$E$37*12),Inputs!$E$35)</f>
        <v>7584.81628191557</v>
      </c>
      <c r="AG51" s="19" t="n">
        <f aca="false">-PMT(Inputs!$E$36/12,MAX(1,Inputs!$E$37*12),Inputs!$E$35)</f>
        <v>7584.81628191557</v>
      </c>
      <c r="AH51" s="19" t="n">
        <f aca="false">-PMT(Inputs!$E$36/12,MAX(1,Inputs!$E$37*12),Inputs!$E$35)</f>
        <v>7584.81628191557</v>
      </c>
      <c r="AI51" s="19" t="n">
        <f aca="false">-PMT(Inputs!$E$36/12,MAX(1,Inputs!$E$37*12),Inputs!$E$35)</f>
        <v>7584.81628191557</v>
      </c>
      <c r="AJ51" s="19" t="n">
        <f aca="false">-PMT(Inputs!$E$36/12,MAX(1,Inputs!$E$37*12),Inputs!$E$35)</f>
        <v>7584.81628191557</v>
      </c>
      <c r="AK51" s="19" t="n">
        <f aca="false">-PMT(Inputs!$E$36/12,MAX(1,Inputs!$E$37*12),Inputs!$E$35)</f>
        <v>7584.81628191557</v>
      </c>
      <c r="AL51" s="19" t="n">
        <f aca="false">-PMT(Inputs!$E$36/12,MAX(1,Inputs!$E$37*12),Inputs!$E$35)</f>
        <v>7584.81628191557</v>
      </c>
    </row>
    <row r="52" customFormat="false" ht="15" hidden="false" customHeight="false" outlineLevel="0" collapsed="false">
      <c r="A52" s="11" t="s">
        <v>160</v>
      </c>
      <c r="C52" s="19" t="n">
        <f aca="false">-MIN(C49+C50,C51+C30)</f>
        <v>-1084.81628191557</v>
      </c>
      <c r="D52" s="19" t="n">
        <f aca="false">-MIN(D49+D50,D51+D30)</f>
        <v>-1090.69237010927</v>
      </c>
      <c r="E52" s="19" t="n">
        <f aca="false">-MIN(E49+E50,E51+E30)</f>
        <v>-1096.60028711403</v>
      </c>
      <c r="F52" s="19" t="n">
        <f aca="false">-MIN(F49+F50,F51+F30)</f>
        <v>-1102.5402053359</v>
      </c>
      <c r="G52" s="19" t="n">
        <f aca="false">-MIN(G49+G50,G51+G30)</f>
        <v>-1108.5122981148</v>
      </c>
      <c r="H52" s="19" t="n">
        <f aca="false">-MIN(H49+H50,H51+H30)</f>
        <v>-1114.51673972959</v>
      </c>
      <c r="I52" s="19" t="n">
        <f aca="false">-MIN(I49+I50,I51+I30)</f>
        <v>-1120.55370540313</v>
      </c>
      <c r="J52" s="19" t="n">
        <f aca="false">-MIN(J49+J50,J51+J30)</f>
        <v>-1126.62337130739</v>
      </c>
      <c r="K52" s="19" t="n">
        <f aca="false">-MIN(K49+K50,K51+K30)</f>
        <v>-1132.72591456864</v>
      </c>
      <c r="L52" s="19" t="n">
        <f aca="false">-MIN(L49+L50,L51+L30)</f>
        <v>-1138.86151327256</v>
      </c>
      <c r="M52" s="19" t="n">
        <f aca="false">-MIN(M49+M50,M51+M30)</f>
        <v>-1145.03034646945</v>
      </c>
      <c r="N52" s="19" t="n">
        <f aca="false">-MIN(N49+N50,N51+N30)</f>
        <v>-1151.23259417949</v>
      </c>
      <c r="O52" s="19" t="n">
        <f aca="false">-MIN(O49+O50,O51+O30)</f>
        <v>-1157.46843739797</v>
      </c>
      <c r="P52" s="19" t="n">
        <f aca="false">-MIN(P49+P50,P51+P30)</f>
        <v>-1163.73805810054</v>
      </c>
      <c r="Q52" s="19" t="n">
        <f aca="false">-MIN(Q49+Q50,Q51+Q30)</f>
        <v>-1170.04163924858</v>
      </c>
      <c r="R52" s="19" t="n">
        <f aca="false">-MIN(R49+R50,R51+R30)</f>
        <v>-1176.37936479451</v>
      </c>
      <c r="S52" s="19" t="n">
        <f aca="false">-MIN(S49+S50,S51+S30)</f>
        <v>-1182.75141968715</v>
      </c>
      <c r="T52" s="19" t="n">
        <f aca="false">-MIN(T49+T50,T51+T30)</f>
        <v>-1189.15798987712</v>
      </c>
      <c r="U52" s="19" t="n">
        <f aca="false">-MIN(U49+U50,U51+U30)</f>
        <v>-1195.59926232229</v>
      </c>
      <c r="V52" s="19" t="n">
        <f aca="false">-MIN(V49+V50,V51+V30)</f>
        <v>-1202.0754249932</v>
      </c>
      <c r="W52" s="19" t="n">
        <f aca="false">-MIN(W49+W50,W51+W30)</f>
        <v>-1208.58666687858</v>
      </c>
      <c r="X52" s="19" t="n">
        <f aca="false">-MIN(X49+X50,X51+X30)</f>
        <v>-1215.13317799084</v>
      </c>
      <c r="Y52" s="19" t="n">
        <f aca="false">-MIN(Y49+Y50,Y51+Y30)</f>
        <v>-1221.71514937162</v>
      </c>
      <c r="Z52" s="19" t="n">
        <f aca="false">-MIN(Z49+Z50,Z51+Z30)</f>
        <v>-1228.33277309739</v>
      </c>
      <c r="AA52" s="19" t="n">
        <f aca="false">-MIN(AA49+AA50,AA51+AA30)</f>
        <v>-1234.986242285</v>
      </c>
      <c r="AB52" s="19" t="n">
        <f aca="false">-MIN(AB49+AB50,AB51+AB30)</f>
        <v>-1241.67575109737</v>
      </c>
      <c r="AC52" s="19" t="n">
        <f aca="false">-MIN(AC49+AC50,AC51+AC30)</f>
        <v>-1248.40149474915</v>
      </c>
      <c r="AD52" s="19" t="n">
        <f aca="false">-MIN(AD49+AD50,AD51+AD30)</f>
        <v>-1255.16366951237</v>
      </c>
      <c r="AE52" s="19" t="n">
        <f aca="false">-MIN(AE49+AE50,AE51+AE30)</f>
        <v>-1261.96247272223</v>
      </c>
      <c r="AF52" s="19" t="n">
        <f aca="false">-MIN(AF49+AF50,AF51+AF30)</f>
        <v>-1268.79810278281</v>
      </c>
      <c r="AG52" s="19" t="n">
        <f aca="false">-MIN(AG49+AG50,AG51+AG30)</f>
        <v>-1275.67075917288</v>
      </c>
      <c r="AH52" s="19" t="n">
        <f aca="false">-MIN(AH49+AH50,AH51+AH30)</f>
        <v>-1282.58064245174</v>
      </c>
      <c r="AI52" s="19" t="n">
        <f aca="false">-MIN(AI49+AI50,AI51+AI30)</f>
        <v>-1289.52795426502</v>
      </c>
      <c r="AJ52" s="19" t="n">
        <f aca="false">-MIN(AJ49+AJ50,AJ51+AJ30)</f>
        <v>-1296.51289735062</v>
      </c>
      <c r="AK52" s="19" t="n">
        <f aca="false">-MIN(AK49+AK50,AK51+AK30)</f>
        <v>-1303.5356755446</v>
      </c>
      <c r="AL52" s="19" t="n">
        <f aca="false">-MIN(AL49+AL50,AL51+AL30)</f>
        <v>-1310.59649378714</v>
      </c>
    </row>
    <row r="53" customFormat="false" ht="15" hidden="false" customHeight="false" outlineLevel="0" collapsed="false">
      <c r="A53" s="11" t="s">
        <v>32</v>
      </c>
      <c r="C53" s="19" t="n">
        <f aca="false">C30+C52</f>
        <v>-7584.81628191557</v>
      </c>
      <c r="D53" s="19" t="n">
        <f aca="false">D30+D52</f>
        <v>-7584.81628191557</v>
      </c>
      <c r="E53" s="19" t="n">
        <f aca="false">E30+E52</f>
        <v>-7584.81628191557</v>
      </c>
      <c r="F53" s="19" t="n">
        <f aca="false">F30+F52</f>
        <v>-7584.81628191557</v>
      </c>
      <c r="G53" s="19" t="n">
        <f aca="false">G30+G52</f>
        <v>-7584.81628191557</v>
      </c>
      <c r="H53" s="19" t="n">
        <f aca="false">H30+H52</f>
        <v>-7584.81628191557</v>
      </c>
      <c r="I53" s="19" t="n">
        <f aca="false">I30+I52</f>
        <v>-7584.81628191557</v>
      </c>
      <c r="J53" s="19" t="n">
        <f aca="false">J30+J52</f>
        <v>-7584.81628191557</v>
      </c>
      <c r="K53" s="19" t="n">
        <f aca="false">K30+K52</f>
        <v>-7584.81628191557</v>
      </c>
      <c r="L53" s="19" t="n">
        <f aca="false">L30+L52</f>
        <v>-7584.81628191557</v>
      </c>
      <c r="M53" s="19" t="n">
        <f aca="false">M30+M52</f>
        <v>-7584.81628191557</v>
      </c>
      <c r="N53" s="19" t="n">
        <f aca="false">N30+N52</f>
        <v>-7584.81628191557</v>
      </c>
      <c r="O53" s="19" t="n">
        <f aca="false">O30+O52</f>
        <v>-7584.81628191557</v>
      </c>
      <c r="P53" s="19" t="n">
        <f aca="false">P30+P52</f>
        <v>-7584.81628191557</v>
      </c>
      <c r="Q53" s="19" t="n">
        <f aca="false">Q30+Q52</f>
        <v>-7584.81628191557</v>
      </c>
      <c r="R53" s="19" t="n">
        <f aca="false">R30+R52</f>
        <v>-7584.81628191557</v>
      </c>
      <c r="S53" s="19" t="n">
        <f aca="false">S30+S52</f>
        <v>-7584.81628191557</v>
      </c>
      <c r="T53" s="19" t="n">
        <f aca="false">T30+T52</f>
        <v>-7584.81628191557</v>
      </c>
      <c r="U53" s="19" t="n">
        <f aca="false">U30+U52</f>
        <v>-7584.81628191557</v>
      </c>
      <c r="V53" s="19" t="n">
        <f aca="false">V30+V52</f>
        <v>-7584.81628191557</v>
      </c>
      <c r="W53" s="19" t="n">
        <f aca="false">W30+W52</f>
        <v>-7584.81628191557</v>
      </c>
      <c r="X53" s="19" t="n">
        <f aca="false">X30+X52</f>
        <v>-7584.81628191557</v>
      </c>
      <c r="Y53" s="19" t="n">
        <f aca="false">Y30+Y52</f>
        <v>-7584.81628191557</v>
      </c>
      <c r="Z53" s="19" t="n">
        <f aca="false">Z30+Z52</f>
        <v>-7584.81628191557</v>
      </c>
      <c r="AA53" s="19" t="n">
        <f aca="false">AA30+AA52</f>
        <v>-7584.81628191557</v>
      </c>
      <c r="AB53" s="19" t="n">
        <f aca="false">AB30+AB52</f>
        <v>-7584.81628191557</v>
      </c>
      <c r="AC53" s="19" t="n">
        <f aca="false">AC30+AC52</f>
        <v>-7584.81628191557</v>
      </c>
      <c r="AD53" s="19" t="n">
        <f aca="false">AD30+AD52</f>
        <v>-7584.81628191557</v>
      </c>
      <c r="AE53" s="19" t="n">
        <f aca="false">AE30+AE52</f>
        <v>-7584.81628191557</v>
      </c>
      <c r="AF53" s="19" t="n">
        <f aca="false">AF30+AF52</f>
        <v>-7584.81628191557</v>
      </c>
      <c r="AG53" s="19" t="n">
        <f aca="false">AG30+AG52</f>
        <v>-7584.81628191557</v>
      </c>
      <c r="AH53" s="19" t="n">
        <f aca="false">AH30+AH52</f>
        <v>-7584.81628191557</v>
      </c>
      <c r="AI53" s="19" t="n">
        <f aca="false">AI30+AI52</f>
        <v>-7584.81628191557</v>
      </c>
      <c r="AJ53" s="19" t="n">
        <f aca="false">AJ30+AJ52</f>
        <v>-7584.81628191557</v>
      </c>
      <c r="AK53" s="19" t="n">
        <f aca="false">AK30+AK52</f>
        <v>-7584.81628191557</v>
      </c>
      <c r="AL53" s="19" t="n">
        <f aca="false">AL30+AL52</f>
        <v>-7584.81628191557</v>
      </c>
    </row>
    <row r="54" customFormat="false" ht="15" hidden="false" customHeight="false" outlineLevel="0" collapsed="false">
      <c r="A54" s="4" t="s">
        <v>161</v>
      </c>
      <c r="C54" s="15" t="n">
        <f aca="false">C49+C50+C52</f>
        <v>1198915.18371808</v>
      </c>
      <c r="D54" s="15" t="n">
        <f aca="false">D49+D50+D52</f>
        <v>1197824.49134798</v>
      </c>
      <c r="E54" s="15" t="n">
        <f aca="false">E49+E50+E52</f>
        <v>1196727.89106086</v>
      </c>
      <c r="F54" s="15" t="n">
        <f aca="false">F49+F50+F52</f>
        <v>1195625.35085553</v>
      </c>
      <c r="G54" s="15" t="n">
        <f aca="false">G49+G50+G52</f>
        <v>1194516.83855741</v>
      </c>
      <c r="H54" s="15" t="n">
        <f aca="false">H49+H50+H52</f>
        <v>1193402.32181768</v>
      </c>
      <c r="I54" s="15" t="n">
        <f aca="false">I49+I50+I52</f>
        <v>1192281.76811228</v>
      </c>
      <c r="J54" s="15" t="n">
        <f aca="false">J49+J50+J52</f>
        <v>1191155.14474097</v>
      </c>
      <c r="K54" s="15" t="n">
        <f aca="false">K49+K50+K52</f>
        <v>1190022.4188264</v>
      </c>
      <c r="L54" s="15" t="n">
        <f aca="false">L49+L50+L52</f>
        <v>1188883.55731313</v>
      </c>
      <c r="M54" s="15" t="n">
        <f aca="false">M49+M50+M52</f>
        <v>1187738.52696666</v>
      </c>
      <c r="N54" s="15" t="n">
        <f aca="false">N49+N50+N52</f>
        <v>1186587.29437248</v>
      </c>
      <c r="O54" s="15" t="n">
        <f aca="false">O49+O50+O52</f>
        <v>1185429.82593508</v>
      </c>
      <c r="P54" s="15" t="n">
        <f aca="false">P49+P50+P52</f>
        <v>1184266.08787698</v>
      </c>
      <c r="Q54" s="15" t="n">
        <f aca="false">Q49+Q50+Q52</f>
        <v>1183096.04623773</v>
      </c>
      <c r="R54" s="15" t="n">
        <f aca="false">R49+R50+R52</f>
        <v>1181919.66687294</v>
      </c>
      <c r="S54" s="15" t="n">
        <f aca="false">S49+S50+S52</f>
        <v>1180736.91545325</v>
      </c>
      <c r="T54" s="15" t="n">
        <f aca="false">T49+T50+T52</f>
        <v>1179547.75746337</v>
      </c>
      <c r="U54" s="15" t="n">
        <f aca="false">U49+U50+U52</f>
        <v>1178352.15820105</v>
      </c>
      <c r="V54" s="15" t="n">
        <f aca="false">V49+V50+V52</f>
        <v>1177150.08277606</v>
      </c>
      <c r="W54" s="15" t="n">
        <f aca="false">W49+W50+W52</f>
        <v>1175941.49610918</v>
      </c>
      <c r="X54" s="15" t="n">
        <f aca="false">X49+X50+X52</f>
        <v>1174726.36293119</v>
      </c>
      <c r="Y54" s="15" t="n">
        <f aca="false">Y49+Y50+Y52</f>
        <v>1173504.64778182</v>
      </c>
      <c r="Z54" s="15" t="n">
        <f aca="false">Z49+Z50+Z52</f>
        <v>1172276.31500872</v>
      </c>
      <c r="AA54" s="15" t="n">
        <f aca="false">AA49+AA50+AA52</f>
        <v>1171041.32876644</v>
      </c>
      <c r="AB54" s="15" t="n">
        <f aca="false">AB49+AB50+AB52</f>
        <v>1169799.65301534</v>
      </c>
      <c r="AC54" s="15" t="n">
        <f aca="false">AC49+AC50+AC52</f>
        <v>1168551.25152059</v>
      </c>
      <c r="AD54" s="15" t="n">
        <f aca="false">AD49+AD50+AD52</f>
        <v>1167296.08785108</v>
      </c>
      <c r="AE54" s="15" t="n">
        <f aca="false">AE49+AE50+AE52</f>
        <v>1166034.12537835</v>
      </c>
      <c r="AF54" s="15" t="n">
        <f aca="false">AF49+AF50+AF52</f>
        <v>1164765.32727557</v>
      </c>
      <c r="AG54" s="15" t="n">
        <f aca="false">AG49+AG50+AG52</f>
        <v>1163489.6565164</v>
      </c>
      <c r="AH54" s="15" t="n">
        <f aca="false">AH49+AH50+AH52</f>
        <v>1162207.07587395</v>
      </c>
      <c r="AI54" s="15" t="n">
        <f aca="false">AI49+AI50+AI52</f>
        <v>1160917.54791968</v>
      </c>
      <c r="AJ54" s="15" t="n">
        <f aca="false">AJ49+AJ50+AJ52</f>
        <v>1159621.03502233</v>
      </c>
      <c r="AK54" s="15" t="n">
        <f aca="false">AK49+AK50+AK52</f>
        <v>1158317.49934679</v>
      </c>
      <c r="AL54" s="15" t="n">
        <f aca="false">AL49+AL50+AL52</f>
        <v>1157006.902853</v>
      </c>
    </row>
    <row r="56" customFormat="false" ht="15" hidden="false" customHeight="false" outlineLevel="0" collapsed="false">
      <c r="A56" s="7" t="s">
        <v>79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customFormat="false" ht="15" hidden="false" customHeight="false" outlineLevel="0" collapsed="false">
      <c r="A57" s="11" t="s">
        <v>162</v>
      </c>
      <c r="C57" s="19" t="n">
        <f aca="false">C12*Inputs!$E$40/30</f>
        <v>0</v>
      </c>
      <c r="D57" s="19" t="n">
        <f aca="false">D12*Inputs!$E$40/30</f>
        <v>0</v>
      </c>
      <c r="E57" s="19" t="n">
        <f aca="false">E12*Inputs!$E$40/30</f>
        <v>0</v>
      </c>
      <c r="F57" s="19" t="n">
        <f aca="false">F12*Inputs!$E$40/30</f>
        <v>0</v>
      </c>
      <c r="G57" s="19" t="n">
        <f aca="false">G12*Inputs!$E$40/30</f>
        <v>0</v>
      </c>
      <c r="H57" s="19" t="n">
        <f aca="false">H12*Inputs!$E$40/30</f>
        <v>0</v>
      </c>
      <c r="I57" s="19" t="n">
        <f aca="false">I12*Inputs!$E$40/30</f>
        <v>0</v>
      </c>
      <c r="J57" s="19" t="n">
        <f aca="false">J12*Inputs!$E$40/30</f>
        <v>0</v>
      </c>
      <c r="K57" s="19" t="n">
        <f aca="false">K12*Inputs!$E$40/30</f>
        <v>0</v>
      </c>
      <c r="L57" s="19" t="n">
        <f aca="false">L12*Inputs!$E$40/30</f>
        <v>0</v>
      </c>
      <c r="M57" s="19" t="n">
        <f aca="false">M12*Inputs!$E$40/30</f>
        <v>0</v>
      </c>
      <c r="N57" s="19" t="n">
        <f aca="false">N12*Inputs!$E$40/30</f>
        <v>0</v>
      </c>
      <c r="O57" s="19" t="n">
        <f aca="false">O12*Inputs!$E$40/30</f>
        <v>0</v>
      </c>
      <c r="P57" s="19" t="n">
        <f aca="false">P12*Inputs!$E$40/30</f>
        <v>0</v>
      </c>
      <c r="Q57" s="19" t="n">
        <f aca="false">Q12*Inputs!$E$40/30</f>
        <v>0</v>
      </c>
      <c r="R57" s="19" t="n">
        <f aca="false">R12*Inputs!$E$40/30</f>
        <v>0</v>
      </c>
      <c r="S57" s="19" t="n">
        <f aca="false">S12*Inputs!$E$40/30</f>
        <v>0</v>
      </c>
      <c r="T57" s="19" t="n">
        <f aca="false">T12*Inputs!$E$40/30</f>
        <v>0</v>
      </c>
      <c r="U57" s="19" t="n">
        <f aca="false">U12*Inputs!$E$40/30</f>
        <v>0</v>
      </c>
      <c r="V57" s="19" t="n">
        <f aca="false">V12*Inputs!$E$40/30</f>
        <v>0</v>
      </c>
      <c r="W57" s="19" t="n">
        <f aca="false">W12*Inputs!$E$40/30</f>
        <v>0</v>
      </c>
      <c r="X57" s="19" t="n">
        <f aca="false">X12*Inputs!$E$40/30</f>
        <v>0</v>
      </c>
      <c r="Y57" s="19" t="n">
        <f aca="false">Y12*Inputs!$E$40/30</f>
        <v>0</v>
      </c>
      <c r="Z57" s="19" t="n">
        <f aca="false">Z12*Inputs!$E$40/30</f>
        <v>0</v>
      </c>
      <c r="AA57" s="19" t="n">
        <f aca="false">AA12*Inputs!$E$40/30</f>
        <v>0</v>
      </c>
      <c r="AB57" s="19" t="n">
        <f aca="false">AB12*Inputs!$E$40/30</f>
        <v>0</v>
      </c>
      <c r="AC57" s="19" t="n">
        <f aca="false">AC12*Inputs!$E$40/30</f>
        <v>0</v>
      </c>
      <c r="AD57" s="19" t="n">
        <f aca="false">AD12*Inputs!$E$40/30</f>
        <v>0</v>
      </c>
      <c r="AE57" s="19" t="n">
        <f aca="false">AE12*Inputs!$E$40/30</f>
        <v>0</v>
      </c>
      <c r="AF57" s="19" t="n">
        <f aca="false">AF12*Inputs!$E$40/30</f>
        <v>0</v>
      </c>
      <c r="AG57" s="19" t="n">
        <f aca="false">AG12*Inputs!$E$40/30</f>
        <v>0</v>
      </c>
      <c r="AH57" s="19" t="n">
        <f aca="false">AH12*Inputs!$E$40/30</f>
        <v>0</v>
      </c>
      <c r="AI57" s="19" t="n">
        <f aca="false">AI12*Inputs!$E$40/30</f>
        <v>0</v>
      </c>
      <c r="AJ57" s="19" t="n">
        <f aca="false">AJ12*Inputs!$E$40/30</f>
        <v>0</v>
      </c>
      <c r="AK57" s="19" t="n">
        <f aca="false">AK12*Inputs!$E$40/30</f>
        <v>0</v>
      </c>
      <c r="AL57" s="19" t="n">
        <f aca="false">AL12*Inputs!$E$40/30</f>
        <v>0</v>
      </c>
    </row>
    <row r="58" customFormat="false" ht="15" hidden="false" customHeight="false" outlineLevel="0" collapsed="false">
      <c r="A58" s="11" t="s">
        <v>163</v>
      </c>
      <c r="C58" s="19" t="n">
        <f aca="false">-C17*Inputs!$E$41/30</f>
        <v>0</v>
      </c>
      <c r="D58" s="19" t="n">
        <f aca="false">-D17*Inputs!$E$41/30</f>
        <v>0</v>
      </c>
      <c r="E58" s="19" t="n">
        <f aca="false">-E17*Inputs!$E$41/30</f>
        <v>0</v>
      </c>
      <c r="F58" s="19" t="n">
        <f aca="false">-F17*Inputs!$E$41/30</f>
        <v>0</v>
      </c>
      <c r="G58" s="19" t="n">
        <f aca="false">-G17*Inputs!$E$41/30</f>
        <v>0</v>
      </c>
      <c r="H58" s="19" t="n">
        <f aca="false">-H17*Inputs!$E$41/30</f>
        <v>0</v>
      </c>
      <c r="I58" s="19" t="n">
        <f aca="false">-I17*Inputs!$E$41/30</f>
        <v>0</v>
      </c>
      <c r="J58" s="19" t="n">
        <f aca="false">-J17*Inputs!$E$41/30</f>
        <v>0</v>
      </c>
      <c r="K58" s="19" t="n">
        <f aca="false">-K17*Inputs!$E$41/30</f>
        <v>0</v>
      </c>
      <c r="L58" s="19" t="n">
        <f aca="false">-L17*Inputs!$E$41/30</f>
        <v>0</v>
      </c>
      <c r="M58" s="19" t="n">
        <f aca="false">-M17*Inputs!$E$41/30</f>
        <v>0</v>
      </c>
      <c r="N58" s="19" t="n">
        <f aca="false">-N17*Inputs!$E$41/30</f>
        <v>0</v>
      </c>
      <c r="O58" s="19" t="n">
        <f aca="false">-O17*Inputs!$E$41/30</f>
        <v>0</v>
      </c>
      <c r="P58" s="19" t="n">
        <f aca="false">-P17*Inputs!$E$41/30</f>
        <v>0</v>
      </c>
      <c r="Q58" s="19" t="n">
        <f aca="false">-Q17*Inputs!$E$41/30</f>
        <v>0</v>
      </c>
      <c r="R58" s="19" t="n">
        <f aca="false">-R17*Inputs!$E$41/30</f>
        <v>0</v>
      </c>
      <c r="S58" s="19" t="n">
        <f aca="false">-S17*Inputs!$E$41/30</f>
        <v>0</v>
      </c>
      <c r="T58" s="19" t="n">
        <f aca="false">-T17*Inputs!$E$41/30</f>
        <v>0</v>
      </c>
      <c r="U58" s="19" t="n">
        <f aca="false">-U17*Inputs!$E$41/30</f>
        <v>0</v>
      </c>
      <c r="V58" s="19" t="n">
        <f aca="false">-V17*Inputs!$E$41/30</f>
        <v>0</v>
      </c>
      <c r="W58" s="19" t="n">
        <f aca="false">-W17*Inputs!$E$41/30</f>
        <v>0</v>
      </c>
      <c r="X58" s="19" t="n">
        <f aca="false">-X17*Inputs!$E$41/30</f>
        <v>0</v>
      </c>
      <c r="Y58" s="19" t="n">
        <f aca="false">-Y17*Inputs!$E$41/30</f>
        <v>0</v>
      </c>
      <c r="Z58" s="19" t="n">
        <f aca="false">-Z17*Inputs!$E$41/30</f>
        <v>0</v>
      </c>
      <c r="AA58" s="19" t="n">
        <f aca="false">-AA17*Inputs!$E$41/30</f>
        <v>0</v>
      </c>
      <c r="AB58" s="19" t="n">
        <f aca="false">-AB17*Inputs!$E$41/30</f>
        <v>0</v>
      </c>
      <c r="AC58" s="19" t="n">
        <f aca="false">-AC17*Inputs!$E$41/30</f>
        <v>0</v>
      </c>
      <c r="AD58" s="19" t="n">
        <f aca="false">-AD17*Inputs!$E$41/30</f>
        <v>0</v>
      </c>
      <c r="AE58" s="19" t="n">
        <f aca="false">-AE17*Inputs!$E$41/30</f>
        <v>0</v>
      </c>
      <c r="AF58" s="19" t="n">
        <f aca="false">-AF17*Inputs!$E$41/30</f>
        <v>0</v>
      </c>
      <c r="AG58" s="19" t="n">
        <f aca="false">-AG17*Inputs!$E$41/30</f>
        <v>0</v>
      </c>
      <c r="AH58" s="19" t="n">
        <f aca="false">-AH17*Inputs!$E$41/30</f>
        <v>0</v>
      </c>
      <c r="AI58" s="19" t="n">
        <f aca="false">-AI17*Inputs!$E$41/30</f>
        <v>0</v>
      </c>
      <c r="AJ58" s="19" t="n">
        <f aca="false">-AJ17*Inputs!$E$41/30</f>
        <v>0</v>
      </c>
      <c r="AK58" s="19" t="n">
        <f aca="false">-AK17*Inputs!$E$41/30</f>
        <v>0</v>
      </c>
      <c r="AL58" s="19" t="n">
        <f aca="false">-AL17*Inputs!$E$41/30</f>
        <v>0</v>
      </c>
    </row>
    <row r="59" customFormat="false" ht="15" hidden="false" customHeight="false" outlineLevel="0" collapsed="false">
      <c r="A59" s="11" t="s">
        <v>164</v>
      </c>
      <c r="C59" s="19" t="n">
        <f aca="false">-C17*Inputs!$E$42/30</f>
        <v>934.5</v>
      </c>
      <c r="D59" s="19" t="n">
        <f aca="false">-D17*Inputs!$E$42/30</f>
        <v>934.5</v>
      </c>
      <c r="E59" s="19" t="n">
        <f aca="false">-E17*Inputs!$E$42/30</f>
        <v>934.5</v>
      </c>
      <c r="F59" s="19" t="n">
        <f aca="false">-F17*Inputs!$E$42/30</f>
        <v>934.5</v>
      </c>
      <c r="G59" s="19" t="n">
        <f aca="false">-G17*Inputs!$E$42/30</f>
        <v>934.5</v>
      </c>
      <c r="H59" s="19" t="n">
        <f aca="false">-H17*Inputs!$E$42/30</f>
        <v>934.5</v>
      </c>
      <c r="I59" s="19" t="n">
        <f aca="false">-I17*Inputs!$E$42/30</f>
        <v>934.5</v>
      </c>
      <c r="J59" s="19" t="n">
        <f aca="false">-J17*Inputs!$E$42/30</f>
        <v>934.5</v>
      </c>
      <c r="K59" s="19" t="n">
        <f aca="false">-K17*Inputs!$E$42/30</f>
        <v>934.5</v>
      </c>
      <c r="L59" s="19" t="n">
        <f aca="false">-L17*Inputs!$E$42/30</f>
        <v>934.5</v>
      </c>
      <c r="M59" s="19" t="n">
        <f aca="false">-M17*Inputs!$E$42/30</f>
        <v>934.5</v>
      </c>
      <c r="N59" s="19" t="n">
        <f aca="false">-N17*Inputs!$E$42/30</f>
        <v>934.5</v>
      </c>
      <c r="O59" s="19" t="n">
        <f aca="false">-O17*Inputs!$E$42/30</f>
        <v>962.535</v>
      </c>
      <c r="P59" s="19" t="n">
        <f aca="false">-P17*Inputs!$E$42/30</f>
        <v>962.535</v>
      </c>
      <c r="Q59" s="19" t="n">
        <f aca="false">-Q17*Inputs!$E$42/30</f>
        <v>962.535</v>
      </c>
      <c r="R59" s="19" t="n">
        <f aca="false">-R17*Inputs!$E$42/30</f>
        <v>962.535</v>
      </c>
      <c r="S59" s="19" t="n">
        <f aca="false">-S17*Inputs!$E$42/30</f>
        <v>962.535</v>
      </c>
      <c r="T59" s="19" t="n">
        <f aca="false">-T17*Inputs!$E$42/30</f>
        <v>962.535</v>
      </c>
      <c r="U59" s="19" t="n">
        <f aca="false">-U17*Inputs!$E$42/30</f>
        <v>962.535</v>
      </c>
      <c r="V59" s="19" t="n">
        <f aca="false">-V17*Inputs!$E$42/30</f>
        <v>962.535</v>
      </c>
      <c r="W59" s="19" t="n">
        <f aca="false">-W17*Inputs!$E$42/30</f>
        <v>962.535</v>
      </c>
      <c r="X59" s="19" t="n">
        <f aca="false">-X17*Inputs!$E$42/30</f>
        <v>962.535</v>
      </c>
      <c r="Y59" s="19" t="n">
        <f aca="false">-Y17*Inputs!$E$42/30</f>
        <v>962.535</v>
      </c>
      <c r="Z59" s="19" t="n">
        <f aca="false">-Z17*Inputs!$E$42/30</f>
        <v>962.535</v>
      </c>
      <c r="AA59" s="19" t="n">
        <f aca="false">-AA17*Inputs!$E$42/30</f>
        <v>991.41105</v>
      </c>
      <c r="AB59" s="19" t="n">
        <f aca="false">-AB17*Inputs!$E$42/30</f>
        <v>991.41105</v>
      </c>
      <c r="AC59" s="19" t="n">
        <f aca="false">-AC17*Inputs!$E$42/30</f>
        <v>991.41105</v>
      </c>
      <c r="AD59" s="19" t="n">
        <f aca="false">-AD17*Inputs!$E$42/30</f>
        <v>991.41105</v>
      </c>
      <c r="AE59" s="19" t="n">
        <f aca="false">-AE17*Inputs!$E$42/30</f>
        <v>991.41105</v>
      </c>
      <c r="AF59" s="19" t="n">
        <f aca="false">-AF17*Inputs!$E$42/30</f>
        <v>991.41105</v>
      </c>
      <c r="AG59" s="19" t="n">
        <f aca="false">-AG17*Inputs!$E$42/30</f>
        <v>991.41105</v>
      </c>
      <c r="AH59" s="19" t="n">
        <f aca="false">-AH17*Inputs!$E$42/30</f>
        <v>991.41105</v>
      </c>
      <c r="AI59" s="19" t="n">
        <f aca="false">-AI17*Inputs!$E$42/30</f>
        <v>991.41105</v>
      </c>
      <c r="AJ59" s="19" t="n">
        <f aca="false">-AJ17*Inputs!$E$42/30</f>
        <v>991.41105</v>
      </c>
      <c r="AK59" s="19" t="n">
        <f aca="false">-AK17*Inputs!$E$42/30</f>
        <v>991.41105</v>
      </c>
      <c r="AL59" s="19" t="n">
        <f aca="false">-AL17*Inputs!$E$42/30</f>
        <v>991.41105</v>
      </c>
    </row>
    <row r="60" customFormat="false" ht="15" hidden="false" customHeight="false" outlineLevel="0" collapsed="false">
      <c r="A60" s="11" t="s">
        <v>165</v>
      </c>
      <c r="C60" s="19" t="n">
        <f aca="false">-C57</f>
        <v>-0</v>
      </c>
      <c r="D60" s="19" t="n">
        <f aca="false">C57-D57</f>
        <v>0</v>
      </c>
      <c r="E60" s="19" t="n">
        <f aca="false">D57-E57</f>
        <v>0</v>
      </c>
      <c r="F60" s="19" t="n">
        <f aca="false">E57-F57</f>
        <v>0</v>
      </c>
      <c r="G60" s="19" t="n">
        <f aca="false">F57-G57</f>
        <v>0</v>
      </c>
      <c r="H60" s="19" t="n">
        <f aca="false">G57-H57</f>
        <v>0</v>
      </c>
      <c r="I60" s="19" t="n">
        <f aca="false">H57-I57</f>
        <v>0</v>
      </c>
      <c r="J60" s="19" t="n">
        <f aca="false">I57-J57</f>
        <v>0</v>
      </c>
      <c r="K60" s="19" t="n">
        <f aca="false">J57-K57</f>
        <v>0</v>
      </c>
      <c r="L60" s="19" t="n">
        <f aca="false">K57-L57</f>
        <v>0</v>
      </c>
      <c r="M60" s="19" t="n">
        <f aca="false">L57-M57</f>
        <v>0</v>
      </c>
      <c r="N60" s="19" t="n">
        <f aca="false">M57-N57</f>
        <v>0</v>
      </c>
      <c r="O60" s="19" t="n">
        <f aca="false">N57-O57</f>
        <v>0</v>
      </c>
      <c r="P60" s="19" t="n">
        <f aca="false">O57-P57</f>
        <v>0</v>
      </c>
      <c r="Q60" s="19" t="n">
        <f aca="false">P57-Q57</f>
        <v>0</v>
      </c>
      <c r="R60" s="19" t="n">
        <f aca="false">Q57-R57</f>
        <v>0</v>
      </c>
      <c r="S60" s="19" t="n">
        <f aca="false">R57-S57</f>
        <v>0</v>
      </c>
      <c r="T60" s="19" t="n">
        <f aca="false">S57-T57</f>
        <v>0</v>
      </c>
      <c r="U60" s="19" t="n">
        <f aca="false">T57-U57</f>
        <v>0</v>
      </c>
      <c r="V60" s="19" t="n">
        <f aca="false">U57-V57</f>
        <v>0</v>
      </c>
      <c r="W60" s="19" t="n">
        <f aca="false">V57-W57</f>
        <v>0</v>
      </c>
      <c r="X60" s="19" t="n">
        <f aca="false">W57-X57</f>
        <v>0</v>
      </c>
      <c r="Y60" s="19" t="n">
        <f aca="false">X57-Y57</f>
        <v>0</v>
      </c>
      <c r="Z60" s="19" t="n">
        <f aca="false">Y57-Z57</f>
        <v>0</v>
      </c>
      <c r="AA60" s="19" t="n">
        <f aca="false">Z57-AA57</f>
        <v>0</v>
      </c>
      <c r="AB60" s="19" t="n">
        <f aca="false">AA57-AB57</f>
        <v>0</v>
      </c>
      <c r="AC60" s="19" t="n">
        <f aca="false">AB57-AC57</f>
        <v>0</v>
      </c>
      <c r="AD60" s="19" t="n">
        <f aca="false">AC57-AD57</f>
        <v>0</v>
      </c>
      <c r="AE60" s="19" t="n">
        <f aca="false">AD57-AE57</f>
        <v>0</v>
      </c>
      <c r="AF60" s="19" t="n">
        <f aca="false">AE57-AF57</f>
        <v>0</v>
      </c>
      <c r="AG60" s="19" t="n">
        <f aca="false">AF57-AG57</f>
        <v>0</v>
      </c>
      <c r="AH60" s="19" t="n">
        <f aca="false">AG57-AH57</f>
        <v>0</v>
      </c>
      <c r="AI60" s="19" t="n">
        <f aca="false">AH57-AI57</f>
        <v>0</v>
      </c>
      <c r="AJ60" s="19" t="n">
        <f aca="false">AI57-AJ57</f>
        <v>0</v>
      </c>
      <c r="AK60" s="19" t="n">
        <f aca="false">AJ57-AK57</f>
        <v>0</v>
      </c>
      <c r="AL60" s="19" t="n">
        <f aca="false">AK57-AL57</f>
        <v>0</v>
      </c>
    </row>
    <row r="61" customFormat="false" ht="15" hidden="false" customHeight="false" outlineLevel="0" collapsed="false">
      <c r="A61" s="11" t="s">
        <v>166</v>
      </c>
      <c r="C61" s="19" t="n">
        <f aca="false">-C58</f>
        <v>-0</v>
      </c>
      <c r="D61" s="19" t="n">
        <f aca="false">C58-D58</f>
        <v>0</v>
      </c>
      <c r="E61" s="19" t="n">
        <f aca="false">D58-E58</f>
        <v>0</v>
      </c>
      <c r="F61" s="19" t="n">
        <f aca="false">E58-F58</f>
        <v>0</v>
      </c>
      <c r="G61" s="19" t="n">
        <f aca="false">F58-G58</f>
        <v>0</v>
      </c>
      <c r="H61" s="19" t="n">
        <f aca="false">G58-H58</f>
        <v>0</v>
      </c>
      <c r="I61" s="19" t="n">
        <f aca="false">H58-I58</f>
        <v>0</v>
      </c>
      <c r="J61" s="19" t="n">
        <f aca="false">I58-J58</f>
        <v>0</v>
      </c>
      <c r="K61" s="19" t="n">
        <f aca="false">J58-K58</f>
        <v>0</v>
      </c>
      <c r="L61" s="19" t="n">
        <f aca="false">K58-L58</f>
        <v>0</v>
      </c>
      <c r="M61" s="19" t="n">
        <f aca="false">L58-M58</f>
        <v>0</v>
      </c>
      <c r="N61" s="19" t="n">
        <f aca="false">M58-N58</f>
        <v>0</v>
      </c>
      <c r="O61" s="19" t="n">
        <f aca="false">N58-O58</f>
        <v>0</v>
      </c>
      <c r="P61" s="19" t="n">
        <f aca="false">O58-P58</f>
        <v>0</v>
      </c>
      <c r="Q61" s="19" t="n">
        <f aca="false">P58-Q58</f>
        <v>0</v>
      </c>
      <c r="R61" s="19" t="n">
        <f aca="false">Q58-R58</f>
        <v>0</v>
      </c>
      <c r="S61" s="19" t="n">
        <f aca="false">R58-S58</f>
        <v>0</v>
      </c>
      <c r="T61" s="19" t="n">
        <f aca="false">S58-T58</f>
        <v>0</v>
      </c>
      <c r="U61" s="19" t="n">
        <f aca="false">T58-U58</f>
        <v>0</v>
      </c>
      <c r="V61" s="19" t="n">
        <f aca="false">U58-V58</f>
        <v>0</v>
      </c>
      <c r="W61" s="19" t="n">
        <f aca="false">V58-W58</f>
        <v>0</v>
      </c>
      <c r="X61" s="19" t="n">
        <f aca="false">W58-X58</f>
        <v>0</v>
      </c>
      <c r="Y61" s="19" t="n">
        <f aca="false">X58-Y58</f>
        <v>0</v>
      </c>
      <c r="Z61" s="19" t="n">
        <f aca="false">Y58-Z58</f>
        <v>0</v>
      </c>
      <c r="AA61" s="19" t="n">
        <f aca="false">Z58-AA58</f>
        <v>0</v>
      </c>
      <c r="AB61" s="19" t="n">
        <f aca="false">AA58-AB58</f>
        <v>0</v>
      </c>
      <c r="AC61" s="19" t="n">
        <f aca="false">AB58-AC58</f>
        <v>0</v>
      </c>
      <c r="AD61" s="19" t="n">
        <f aca="false">AC58-AD58</f>
        <v>0</v>
      </c>
      <c r="AE61" s="19" t="n">
        <f aca="false">AD58-AE58</f>
        <v>0</v>
      </c>
      <c r="AF61" s="19" t="n">
        <f aca="false">AE58-AF58</f>
        <v>0</v>
      </c>
      <c r="AG61" s="19" t="n">
        <f aca="false">AF58-AG58</f>
        <v>0</v>
      </c>
      <c r="AH61" s="19" t="n">
        <f aca="false">AG58-AH58</f>
        <v>0</v>
      </c>
      <c r="AI61" s="19" t="n">
        <f aca="false">AH58-AI58</f>
        <v>0</v>
      </c>
      <c r="AJ61" s="19" t="n">
        <f aca="false">AI58-AJ58</f>
        <v>0</v>
      </c>
      <c r="AK61" s="19" t="n">
        <f aca="false">AJ58-AK58</f>
        <v>0</v>
      </c>
      <c r="AL61" s="19" t="n">
        <f aca="false">AK58-AL58</f>
        <v>0</v>
      </c>
    </row>
    <row r="62" customFormat="false" ht="15" hidden="false" customHeight="false" outlineLevel="0" collapsed="false">
      <c r="A62" s="11" t="s">
        <v>167</v>
      </c>
      <c r="C62" s="19" t="n">
        <f aca="false">C59</f>
        <v>934.5</v>
      </c>
      <c r="D62" s="19" t="n">
        <f aca="false">D59-C59</f>
        <v>0</v>
      </c>
      <c r="E62" s="19" t="n">
        <f aca="false">E59-D59</f>
        <v>0</v>
      </c>
      <c r="F62" s="19" t="n">
        <f aca="false">F59-E59</f>
        <v>0</v>
      </c>
      <c r="G62" s="19" t="n">
        <f aca="false">G59-F59</f>
        <v>0</v>
      </c>
      <c r="H62" s="19" t="n">
        <f aca="false">H59-G59</f>
        <v>0</v>
      </c>
      <c r="I62" s="19" t="n">
        <f aca="false">I59-H59</f>
        <v>0</v>
      </c>
      <c r="J62" s="19" t="n">
        <f aca="false">J59-I59</f>
        <v>0</v>
      </c>
      <c r="K62" s="19" t="n">
        <f aca="false">K59-J59</f>
        <v>0</v>
      </c>
      <c r="L62" s="19" t="n">
        <f aca="false">L59-K59</f>
        <v>0</v>
      </c>
      <c r="M62" s="19" t="n">
        <f aca="false">M59-L59</f>
        <v>0</v>
      </c>
      <c r="N62" s="19" t="n">
        <f aca="false">N59-M59</f>
        <v>0</v>
      </c>
      <c r="O62" s="19" t="n">
        <f aca="false">O59-N59</f>
        <v>28.035</v>
      </c>
      <c r="P62" s="19" t="n">
        <f aca="false">P59-O59</f>
        <v>0</v>
      </c>
      <c r="Q62" s="19" t="n">
        <f aca="false">Q59-P59</f>
        <v>0</v>
      </c>
      <c r="R62" s="19" t="n">
        <f aca="false">R59-Q59</f>
        <v>0</v>
      </c>
      <c r="S62" s="19" t="n">
        <f aca="false">S59-R59</f>
        <v>0</v>
      </c>
      <c r="T62" s="19" t="n">
        <f aca="false">T59-S59</f>
        <v>0</v>
      </c>
      <c r="U62" s="19" t="n">
        <f aca="false">U59-T59</f>
        <v>0</v>
      </c>
      <c r="V62" s="19" t="n">
        <f aca="false">V59-U59</f>
        <v>0</v>
      </c>
      <c r="W62" s="19" t="n">
        <f aca="false">W59-V59</f>
        <v>0</v>
      </c>
      <c r="X62" s="19" t="n">
        <f aca="false">X59-W59</f>
        <v>0</v>
      </c>
      <c r="Y62" s="19" t="n">
        <f aca="false">Y59-X59</f>
        <v>0</v>
      </c>
      <c r="Z62" s="19" t="n">
        <f aca="false">Z59-Y59</f>
        <v>0</v>
      </c>
      <c r="AA62" s="19" t="n">
        <f aca="false">AA59-Z59</f>
        <v>28.87605</v>
      </c>
      <c r="AB62" s="19" t="n">
        <f aca="false">AB59-AA59</f>
        <v>0</v>
      </c>
      <c r="AC62" s="19" t="n">
        <f aca="false">AC59-AB59</f>
        <v>0</v>
      </c>
      <c r="AD62" s="19" t="n">
        <f aca="false">AD59-AC59</f>
        <v>0</v>
      </c>
      <c r="AE62" s="19" t="n">
        <f aca="false">AE59-AD59</f>
        <v>0</v>
      </c>
      <c r="AF62" s="19" t="n">
        <f aca="false">AF59-AE59</f>
        <v>0</v>
      </c>
      <c r="AG62" s="19" t="n">
        <f aca="false">AG59-AF59</f>
        <v>0</v>
      </c>
      <c r="AH62" s="19" t="n">
        <f aca="false">AH59-AG59</f>
        <v>0</v>
      </c>
      <c r="AI62" s="19" t="n">
        <f aca="false">AI59-AH59</f>
        <v>0</v>
      </c>
      <c r="AJ62" s="19" t="n">
        <f aca="false">AJ59-AI59</f>
        <v>0</v>
      </c>
      <c r="AK62" s="19" t="n">
        <f aca="false">AK59-AJ59</f>
        <v>0</v>
      </c>
      <c r="AL62" s="19" t="n">
        <f aca="false">AL59-AK59</f>
        <v>0</v>
      </c>
    </row>
    <row r="64" customFormat="false" ht="15" hidden="false" customHeight="false" outlineLevel="0" collapsed="false">
      <c r="A64" s="7" t="s">
        <v>168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customFormat="false" ht="15" hidden="false" customHeight="false" outlineLevel="0" collapsed="false">
      <c r="A65" s="4" t="s">
        <v>169</v>
      </c>
      <c r="C65" s="15" t="n">
        <f aca="false">C35-C44+C60+C61+C62</f>
        <v>4879.5</v>
      </c>
      <c r="D65" s="15" t="n">
        <f aca="false">D35-D44+D60+D61+D62</f>
        <v>3950.87608819371</v>
      </c>
      <c r="E65" s="15" t="n">
        <f aca="false">E35-E44+E60+E61+E62</f>
        <v>3956.78400519847</v>
      </c>
      <c r="F65" s="15" t="n">
        <f aca="false">F35-F44+F60+F61+F62</f>
        <v>3962.72392342034</v>
      </c>
      <c r="G65" s="15" t="n">
        <f aca="false">G35-G44+G60+G61+G62</f>
        <v>3968.69601619924</v>
      </c>
      <c r="H65" s="15" t="n">
        <f aca="false">H35-H44+H60+H61+H62</f>
        <v>3974.70045781403</v>
      </c>
      <c r="I65" s="15" t="n">
        <f aca="false">I35-I44+I60+I61+I62</f>
        <v>3980.73742348756</v>
      </c>
      <c r="J65" s="15" t="n">
        <f aca="false">J35-J44+J60+J61+J62</f>
        <v>3986.80708939183</v>
      </c>
      <c r="K65" s="15" t="n">
        <f aca="false">K35-K44+K60+K61+K62</f>
        <v>3992.90963265308</v>
      </c>
      <c r="L65" s="15" t="n">
        <f aca="false">L35-L44+L60+L61+L62</f>
        <v>3999.04523135699</v>
      </c>
      <c r="M65" s="15" t="n">
        <f aca="false">M35-M44+M60+M61+M62</f>
        <v>4005.21406455389</v>
      </c>
      <c r="N65" s="15" t="n">
        <f aca="false">N35-N44+N60+N61+N62</f>
        <v>4011.41631226393</v>
      </c>
      <c r="O65" s="15" t="n">
        <f aca="false">O35-O44+O60+O61+O62</f>
        <v>4359.0371554824</v>
      </c>
      <c r="P65" s="15" t="n">
        <f aca="false">P35-P44+P60+P61+P62</f>
        <v>4337.27177618497</v>
      </c>
      <c r="Q65" s="15" t="n">
        <f aca="false">Q35-Q44+Q60+Q61+Q62</f>
        <v>4343.57535733302</v>
      </c>
      <c r="R65" s="15" t="n">
        <f aca="false">R35-R44+R60+R61+R62</f>
        <v>4349.91308287895</v>
      </c>
      <c r="S65" s="15" t="n">
        <f aca="false">S35-S44+S60+S61+S62</f>
        <v>4356.28513777158</v>
      </c>
      <c r="T65" s="15" t="n">
        <f aca="false">T35-T44+T60+T61+T62</f>
        <v>4362.69170796156</v>
      </c>
      <c r="U65" s="15" t="n">
        <f aca="false">U35-U44+U60+U61+U62</f>
        <v>4369.13298040672</v>
      </c>
      <c r="V65" s="15" t="n">
        <f aca="false">V35-V44+V60+V61+V62</f>
        <v>4375.60914307764</v>
      </c>
      <c r="W65" s="15" t="n">
        <f aca="false">W35-W44+W60+W61+W62</f>
        <v>4382.12038496302</v>
      </c>
      <c r="X65" s="15" t="n">
        <f aca="false">X35-X44+X60+X61+X62</f>
        <v>4388.66689607527</v>
      </c>
      <c r="Y65" s="15" t="n">
        <f aca="false">Y35-Y44+Y60+Y61+Y62</f>
        <v>4395.24886745606</v>
      </c>
      <c r="Z65" s="15" t="n">
        <f aca="false">Z35-Z44+Z60+Z61+Z62</f>
        <v>4401.86649118182</v>
      </c>
      <c r="AA65" s="15" t="n">
        <f aca="false">AA35-AA44+AA60+AA61+AA62</f>
        <v>4760.14651036943</v>
      </c>
      <c r="AB65" s="15" t="n">
        <f aca="false">AB35-AB44+AB60+AB61+AB62</f>
        <v>4737.95996918181</v>
      </c>
      <c r="AC65" s="15" t="n">
        <f aca="false">AC35-AC44+AC60+AC61+AC62</f>
        <v>4744.68571283359</v>
      </c>
      <c r="AD65" s="15" t="n">
        <f aca="false">AD35-AD44+AD60+AD61+AD62</f>
        <v>4751.44788759681</v>
      </c>
      <c r="AE65" s="15" t="n">
        <f aca="false">AE35-AE44+AE60+AE61+AE62</f>
        <v>4758.24669080667</v>
      </c>
      <c r="AF65" s="15" t="n">
        <f aca="false">AF35-AF44+AF60+AF61+AF62</f>
        <v>4765.08232086725</v>
      </c>
      <c r="AG65" s="15" t="n">
        <f aca="false">AG35-AG44+AG60+AG61+AG62</f>
        <v>4771.95497725732</v>
      </c>
      <c r="AH65" s="15" t="n">
        <f aca="false">AH35-AH44+AH60+AH61+AH62</f>
        <v>4778.86486053617</v>
      </c>
      <c r="AI65" s="15" t="n">
        <f aca="false">AI35-AI44+AI60+AI61+AI62</f>
        <v>4785.81217234945</v>
      </c>
      <c r="AJ65" s="15" t="n">
        <f aca="false">AJ35-AJ44+AJ60+AJ61+AJ62</f>
        <v>4792.79711543506</v>
      </c>
      <c r="AK65" s="15" t="n">
        <f aca="false">AK35-AK44+AK60+AK61+AK62</f>
        <v>4799.81989362904</v>
      </c>
      <c r="AL65" s="15" t="n">
        <f aca="false">AL35-AL44+AL60+AL61+AL62</f>
        <v>4806.88071187157</v>
      </c>
    </row>
    <row r="66" customFormat="false" ht="15" hidden="false" customHeight="false" outlineLevel="0" collapsed="false">
      <c r="A66" s="11" t="s">
        <v>170</v>
      </c>
      <c r="C66" s="19" t="n">
        <f aca="false">-C41</f>
        <v>-1905791.66666667</v>
      </c>
      <c r="D66" s="19" t="n">
        <f aca="false">-D41</f>
        <v>-291.666666666667</v>
      </c>
      <c r="E66" s="19" t="n">
        <f aca="false">-E41</f>
        <v>-291.666666666667</v>
      </c>
      <c r="F66" s="19" t="n">
        <f aca="false">-F41</f>
        <v>-291.666666666667</v>
      </c>
      <c r="G66" s="19" t="n">
        <f aca="false">-G41</f>
        <v>-291.666666666667</v>
      </c>
      <c r="H66" s="19" t="n">
        <f aca="false">-H41</f>
        <v>-291.666666666667</v>
      </c>
      <c r="I66" s="19" t="n">
        <f aca="false">-I41</f>
        <v>-291.666666666667</v>
      </c>
      <c r="J66" s="19" t="n">
        <f aca="false">-J41</f>
        <v>-291.666666666667</v>
      </c>
      <c r="K66" s="19" t="n">
        <f aca="false">-K41</f>
        <v>-291.666666666667</v>
      </c>
      <c r="L66" s="19" t="n">
        <f aca="false">-L41</f>
        <v>-291.666666666667</v>
      </c>
      <c r="M66" s="19" t="n">
        <f aca="false">-M41</f>
        <v>-291.666666666667</v>
      </c>
      <c r="N66" s="19" t="n">
        <f aca="false">-N41</f>
        <v>-291.666666666667</v>
      </c>
      <c r="O66" s="19" t="n">
        <f aca="false">-O41</f>
        <v>-300.416666666667</v>
      </c>
      <c r="P66" s="19" t="n">
        <f aca="false">-P41</f>
        <v>-300.416666666667</v>
      </c>
      <c r="Q66" s="19" t="n">
        <f aca="false">-Q41</f>
        <v>-300.416666666667</v>
      </c>
      <c r="R66" s="19" t="n">
        <f aca="false">-R41</f>
        <v>-300.416666666667</v>
      </c>
      <c r="S66" s="19" t="n">
        <f aca="false">-S41</f>
        <v>-300.416666666667</v>
      </c>
      <c r="T66" s="19" t="n">
        <f aca="false">-T41</f>
        <v>-300.416666666667</v>
      </c>
      <c r="U66" s="19" t="n">
        <f aca="false">-U41</f>
        <v>-300.416666666667</v>
      </c>
      <c r="V66" s="19" t="n">
        <f aca="false">-V41</f>
        <v>-300.416666666667</v>
      </c>
      <c r="W66" s="19" t="n">
        <f aca="false">-W41</f>
        <v>-300.416666666667</v>
      </c>
      <c r="X66" s="19" t="n">
        <f aca="false">-X41</f>
        <v>-300.416666666667</v>
      </c>
      <c r="Y66" s="19" t="n">
        <f aca="false">-Y41</f>
        <v>-300.416666666667</v>
      </c>
      <c r="Z66" s="19" t="n">
        <f aca="false">-Z41</f>
        <v>-300.416666666667</v>
      </c>
      <c r="AA66" s="19" t="n">
        <f aca="false">-AA41</f>
        <v>-309.429166666667</v>
      </c>
      <c r="AB66" s="19" t="n">
        <f aca="false">-AB41</f>
        <v>-309.429166666667</v>
      </c>
      <c r="AC66" s="19" t="n">
        <f aca="false">-AC41</f>
        <v>-309.429166666667</v>
      </c>
      <c r="AD66" s="19" t="n">
        <f aca="false">-AD41</f>
        <v>-309.429166666667</v>
      </c>
      <c r="AE66" s="19" t="n">
        <f aca="false">-AE41</f>
        <v>-309.429166666667</v>
      </c>
      <c r="AF66" s="19" t="n">
        <f aca="false">-AF41</f>
        <v>-309.429166666667</v>
      </c>
      <c r="AG66" s="19" t="n">
        <f aca="false">-AG41</f>
        <v>-309.429166666667</v>
      </c>
      <c r="AH66" s="19" t="n">
        <f aca="false">-AH41</f>
        <v>-309.429166666667</v>
      </c>
      <c r="AI66" s="19" t="n">
        <f aca="false">-AI41</f>
        <v>-309.429166666667</v>
      </c>
      <c r="AJ66" s="19" t="n">
        <f aca="false">-AJ41</f>
        <v>-309.429166666667</v>
      </c>
      <c r="AK66" s="19" t="n">
        <f aca="false">-AK41</f>
        <v>-309.429166666667</v>
      </c>
      <c r="AL66" s="19" t="n">
        <f aca="false">-AL41</f>
        <v>-309.429166666667</v>
      </c>
    </row>
    <row r="67" customFormat="false" ht="15" hidden="false" customHeight="false" outlineLevel="0" collapsed="false">
      <c r="A67" s="11" t="s">
        <v>171</v>
      </c>
      <c r="C67" s="19" t="n">
        <f aca="false">IF(C$4=1,Inputs!$E$34,0)</f>
        <v>760000</v>
      </c>
      <c r="D67" s="19" t="n">
        <f aca="false">IF(D$4=1,Inputs!$E$34,0)</f>
        <v>0</v>
      </c>
      <c r="E67" s="19" t="n">
        <f aca="false">IF(E$4=1,Inputs!$E$34,0)</f>
        <v>0</v>
      </c>
      <c r="F67" s="19" t="n">
        <f aca="false">IF(F$4=1,Inputs!$E$34,0)</f>
        <v>0</v>
      </c>
      <c r="G67" s="19" t="n">
        <f aca="false">IF(G$4=1,Inputs!$E$34,0)</f>
        <v>0</v>
      </c>
      <c r="H67" s="19" t="n">
        <f aca="false">IF(H$4=1,Inputs!$E$34,0)</f>
        <v>0</v>
      </c>
      <c r="I67" s="19" t="n">
        <f aca="false">IF(I$4=1,Inputs!$E$34,0)</f>
        <v>0</v>
      </c>
      <c r="J67" s="19" t="n">
        <f aca="false">IF(J$4=1,Inputs!$E$34,0)</f>
        <v>0</v>
      </c>
      <c r="K67" s="19" t="n">
        <f aca="false">IF(K$4=1,Inputs!$E$34,0)</f>
        <v>0</v>
      </c>
      <c r="L67" s="19" t="n">
        <f aca="false">IF(L$4=1,Inputs!$E$34,0)</f>
        <v>0</v>
      </c>
      <c r="M67" s="19" t="n">
        <f aca="false">IF(M$4=1,Inputs!$E$34,0)</f>
        <v>0</v>
      </c>
      <c r="N67" s="19" t="n">
        <f aca="false">IF(N$4=1,Inputs!$E$34,0)</f>
        <v>0</v>
      </c>
      <c r="O67" s="19" t="n">
        <f aca="false">IF(O$4=1,Inputs!$E$34,0)</f>
        <v>0</v>
      </c>
      <c r="P67" s="19" t="n">
        <f aca="false">IF(P$4=1,Inputs!$E$34,0)</f>
        <v>0</v>
      </c>
      <c r="Q67" s="19" t="n">
        <f aca="false">IF(Q$4=1,Inputs!$E$34,0)</f>
        <v>0</v>
      </c>
      <c r="R67" s="19" t="n">
        <f aca="false">IF(R$4=1,Inputs!$E$34,0)</f>
        <v>0</v>
      </c>
      <c r="S67" s="19" t="n">
        <f aca="false">IF(S$4=1,Inputs!$E$34,0)</f>
        <v>0</v>
      </c>
      <c r="T67" s="19" t="n">
        <f aca="false">IF(T$4=1,Inputs!$E$34,0)</f>
        <v>0</v>
      </c>
      <c r="U67" s="19" t="n">
        <f aca="false">IF(U$4=1,Inputs!$E$34,0)</f>
        <v>0</v>
      </c>
      <c r="V67" s="19" t="n">
        <f aca="false">IF(V$4=1,Inputs!$E$34,0)</f>
        <v>0</v>
      </c>
      <c r="W67" s="19" t="n">
        <f aca="false">IF(W$4=1,Inputs!$E$34,0)</f>
        <v>0</v>
      </c>
      <c r="X67" s="19" t="n">
        <f aca="false">IF(X$4=1,Inputs!$E$34,0)</f>
        <v>0</v>
      </c>
      <c r="Y67" s="19" t="n">
        <f aca="false">IF(Y$4=1,Inputs!$E$34,0)</f>
        <v>0</v>
      </c>
      <c r="Z67" s="19" t="n">
        <f aca="false">IF(Z$4=1,Inputs!$E$34,0)</f>
        <v>0</v>
      </c>
      <c r="AA67" s="19" t="n">
        <f aca="false">IF(AA$4=1,Inputs!$E$34,0)</f>
        <v>0</v>
      </c>
      <c r="AB67" s="19" t="n">
        <f aca="false">IF(AB$4=1,Inputs!$E$34,0)</f>
        <v>0</v>
      </c>
      <c r="AC67" s="19" t="n">
        <f aca="false">IF(AC$4=1,Inputs!$E$34,0)</f>
        <v>0</v>
      </c>
      <c r="AD67" s="19" t="n">
        <f aca="false">IF(AD$4=1,Inputs!$E$34,0)</f>
        <v>0</v>
      </c>
      <c r="AE67" s="19" t="n">
        <f aca="false">IF(AE$4=1,Inputs!$E$34,0)</f>
        <v>0</v>
      </c>
      <c r="AF67" s="19" t="n">
        <f aca="false">IF(AF$4=1,Inputs!$E$34,0)</f>
        <v>0</v>
      </c>
      <c r="AG67" s="19" t="n">
        <f aca="false">IF(AG$4=1,Inputs!$E$34,0)</f>
        <v>0</v>
      </c>
      <c r="AH67" s="19" t="n">
        <f aca="false">IF(AH$4=1,Inputs!$E$34,0)</f>
        <v>0</v>
      </c>
      <c r="AI67" s="19" t="n">
        <f aca="false">IF(AI$4=1,Inputs!$E$34,0)</f>
        <v>0</v>
      </c>
      <c r="AJ67" s="19" t="n">
        <f aca="false">IF(AJ$4=1,Inputs!$E$34,0)</f>
        <v>0</v>
      </c>
      <c r="AK67" s="19" t="n">
        <f aca="false">IF(AK$4=1,Inputs!$E$34,0)</f>
        <v>0</v>
      </c>
      <c r="AL67" s="19" t="n">
        <f aca="false">IF(AL$4=1,Inputs!$E$34,0)</f>
        <v>0</v>
      </c>
    </row>
    <row r="68" customFormat="false" ht="15" hidden="false" customHeight="false" outlineLevel="0" collapsed="false">
      <c r="A68" s="11" t="s">
        <v>172</v>
      </c>
      <c r="C68" s="19" t="n">
        <f aca="false">C67+C50+C52</f>
        <v>1958915.18371808</v>
      </c>
      <c r="D68" s="19" t="n">
        <f aca="false">D67+D50+D52</f>
        <v>-1090.69237010927</v>
      </c>
      <c r="E68" s="19" t="n">
        <f aca="false">E67+E50+E52</f>
        <v>-1096.60028711403</v>
      </c>
      <c r="F68" s="19" t="n">
        <f aca="false">F67+F50+F52</f>
        <v>-1102.5402053359</v>
      </c>
      <c r="G68" s="19" t="n">
        <f aca="false">G67+G50+G52</f>
        <v>-1108.5122981148</v>
      </c>
      <c r="H68" s="19" t="n">
        <f aca="false">H67+H50+H52</f>
        <v>-1114.51673972959</v>
      </c>
      <c r="I68" s="19" t="n">
        <f aca="false">I67+I50+I52</f>
        <v>-1120.55370540313</v>
      </c>
      <c r="J68" s="19" t="n">
        <f aca="false">J67+J50+J52</f>
        <v>-1126.62337130739</v>
      </c>
      <c r="K68" s="19" t="n">
        <f aca="false">K67+K50+K52</f>
        <v>-1132.72591456864</v>
      </c>
      <c r="L68" s="19" t="n">
        <f aca="false">L67+L50+L52</f>
        <v>-1138.86151327256</v>
      </c>
      <c r="M68" s="19" t="n">
        <f aca="false">M67+M50+M52</f>
        <v>-1145.03034646945</v>
      </c>
      <c r="N68" s="19" t="n">
        <f aca="false">N67+N50+N52</f>
        <v>-1151.23259417949</v>
      </c>
      <c r="O68" s="19" t="n">
        <f aca="false">O67+O50+O52</f>
        <v>-1157.46843739797</v>
      </c>
      <c r="P68" s="19" t="n">
        <f aca="false">P67+P50+P52</f>
        <v>-1163.73805810054</v>
      </c>
      <c r="Q68" s="19" t="n">
        <f aca="false">Q67+Q50+Q52</f>
        <v>-1170.04163924858</v>
      </c>
      <c r="R68" s="19" t="n">
        <f aca="false">R67+R50+R52</f>
        <v>-1176.37936479451</v>
      </c>
      <c r="S68" s="19" t="n">
        <f aca="false">S67+S50+S52</f>
        <v>-1182.75141968715</v>
      </c>
      <c r="T68" s="19" t="n">
        <f aca="false">T67+T50+T52</f>
        <v>-1189.15798987712</v>
      </c>
      <c r="U68" s="19" t="n">
        <f aca="false">U67+U50+U52</f>
        <v>-1195.59926232229</v>
      </c>
      <c r="V68" s="19" t="n">
        <f aca="false">V67+V50+V52</f>
        <v>-1202.0754249932</v>
      </c>
      <c r="W68" s="19" t="n">
        <f aca="false">W67+W50+W52</f>
        <v>-1208.58666687858</v>
      </c>
      <c r="X68" s="19" t="n">
        <f aca="false">X67+X50+X52</f>
        <v>-1215.13317799084</v>
      </c>
      <c r="Y68" s="19" t="n">
        <f aca="false">Y67+Y50+Y52</f>
        <v>-1221.71514937162</v>
      </c>
      <c r="Z68" s="19" t="n">
        <f aca="false">Z67+Z50+Z52</f>
        <v>-1228.33277309739</v>
      </c>
      <c r="AA68" s="19" t="n">
        <f aca="false">AA67+AA50+AA52</f>
        <v>-1234.986242285</v>
      </c>
      <c r="AB68" s="19" t="n">
        <f aca="false">AB67+AB50+AB52</f>
        <v>-1241.67575109737</v>
      </c>
      <c r="AC68" s="19" t="n">
        <f aca="false">AC67+AC50+AC52</f>
        <v>-1248.40149474915</v>
      </c>
      <c r="AD68" s="19" t="n">
        <f aca="false">AD67+AD50+AD52</f>
        <v>-1255.16366951237</v>
      </c>
      <c r="AE68" s="19" t="n">
        <f aca="false">AE67+AE50+AE52</f>
        <v>-1261.96247272223</v>
      </c>
      <c r="AF68" s="19" t="n">
        <f aca="false">AF67+AF50+AF52</f>
        <v>-1268.79810278281</v>
      </c>
      <c r="AG68" s="19" t="n">
        <f aca="false">AG67+AG50+AG52</f>
        <v>-1275.67075917288</v>
      </c>
      <c r="AH68" s="19" t="n">
        <f aca="false">AH67+AH50+AH52</f>
        <v>-1282.58064245174</v>
      </c>
      <c r="AI68" s="19" t="n">
        <f aca="false">AI67+AI50+AI52</f>
        <v>-1289.52795426502</v>
      </c>
      <c r="AJ68" s="19" t="n">
        <f aca="false">AJ67+AJ50+AJ52</f>
        <v>-1296.51289735062</v>
      </c>
      <c r="AK68" s="19" t="n">
        <f aca="false">AK67+AK50+AK52</f>
        <v>-1303.5356755446</v>
      </c>
      <c r="AL68" s="19" t="n">
        <f aca="false">AL67+AL50+AL52</f>
        <v>-1310.59649378714</v>
      </c>
    </row>
    <row r="69" customFormat="false" ht="15" hidden="false" customHeight="false" outlineLevel="0" collapsed="false">
      <c r="A69" s="4" t="s">
        <v>173</v>
      </c>
      <c r="C69" s="32" t="n">
        <f aca="false">C65+C66+C68</f>
        <v>58003.0170514176</v>
      </c>
      <c r="D69" s="32" t="n">
        <f aca="false">D65+D66+D68</f>
        <v>2568.51705141777</v>
      </c>
      <c r="E69" s="32" t="n">
        <f aca="false">E65+E66+E68</f>
        <v>2568.51705141777</v>
      </c>
      <c r="F69" s="32" t="n">
        <f aca="false">F65+F66+F68</f>
        <v>2568.51705141777</v>
      </c>
      <c r="G69" s="32" t="n">
        <f aca="false">G65+G66+G68</f>
        <v>2568.51705141777</v>
      </c>
      <c r="H69" s="32" t="n">
        <f aca="false">H65+H66+H68</f>
        <v>2568.51705141777</v>
      </c>
      <c r="I69" s="32" t="n">
        <f aca="false">I65+I66+I68</f>
        <v>2568.51705141777</v>
      </c>
      <c r="J69" s="32" t="n">
        <f aca="false">J65+J66+J68</f>
        <v>2568.51705141777</v>
      </c>
      <c r="K69" s="32" t="n">
        <f aca="false">K65+K66+K68</f>
        <v>2568.51705141777</v>
      </c>
      <c r="L69" s="32" t="n">
        <f aca="false">L65+L66+L68</f>
        <v>2568.51705141777</v>
      </c>
      <c r="M69" s="32" t="n">
        <f aca="false">M65+M66+M68</f>
        <v>2568.51705141777</v>
      </c>
      <c r="N69" s="32" t="n">
        <f aca="false">N65+N66+N68</f>
        <v>2568.51705141777</v>
      </c>
      <c r="O69" s="32" t="n">
        <f aca="false">O65+O66+O68</f>
        <v>2901.15205141777</v>
      </c>
      <c r="P69" s="32" t="n">
        <f aca="false">P65+P66+P68</f>
        <v>2873.11705141777</v>
      </c>
      <c r="Q69" s="32" t="n">
        <f aca="false">Q65+Q66+Q68</f>
        <v>2873.11705141777</v>
      </c>
      <c r="R69" s="32" t="n">
        <f aca="false">R65+R66+R68</f>
        <v>2873.11705141777</v>
      </c>
      <c r="S69" s="32" t="n">
        <f aca="false">S65+S66+S68</f>
        <v>2873.11705141777</v>
      </c>
      <c r="T69" s="32" t="n">
        <f aca="false">T65+T66+T68</f>
        <v>2873.11705141777</v>
      </c>
      <c r="U69" s="32" t="n">
        <f aca="false">U65+U66+U68</f>
        <v>2873.11705141777</v>
      </c>
      <c r="V69" s="32" t="n">
        <f aca="false">V65+V66+V68</f>
        <v>2873.11705141777</v>
      </c>
      <c r="W69" s="32" t="n">
        <f aca="false">W65+W66+W68</f>
        <v>2873.11705141777</v>
      </c>
      <c r="X69" s="32" t="n">
        <f aca="false">X65+X66+X68</f>
        <v>2873.11705141777</v>
      </c>
      <c r="Y69" s="32" t="n">
        <f aca="false">Y65+Y66+Y68</f>
        <v>2873.11705141777</v>
      </c>
      <c r="Z69" s="32" t="n">
        <f aca="false">Z65+Z66+Z68</f>
        <v>2873.11705141777</v>
      </c>
      <c r="AA69" s="32" t="n">
        <f aca="false">AA65+AA66+AA68</f>
        <v>3215.73110141777</v>
      </c>
      <c r="AB69" s="32" t="n">
        <f aca="false">AB65+AB66+AB68</f>
        <v>3186.85505141777</v>
      </c>
      <c r="AC69" s="32" t="n">
        <f aca="false">AC65+AC66+AC68</f>
        <v>3186.85505141777</v>
      </c>
      <c r="AD69" s="32" t="n">
        <f aca="false">AD65+AD66+AD68</f>
        <v>3186.85505141777</v>
      </c>
      <c r="AE69" s="32" t="n">
        <f aca="false">AE65+AE66+AE68</f>
        <v>3186.85505141777</v>
      </c>
      <c r="AF69" s="32" t="n">
        <f aca="false">AF65+AF66+AF68</f>
        <v>3186.85505141777</v>
      </c>
      <c r="AG69" s="32" t="n">
        <f aca="false">AG65+AG66+AG68</f>
        <v>3186.85505141777</v>
      </c>
      <c r="AH69" s="32" t="n">
        <f aca="false">AH65+AH66+AH68</f>
        <v>3186.85505141777</v>
      </c>
      <c r="AI69" s="32" t="n">
        <f aca="false">AI65+AI66+AI68</f>
        <v>3186.85505141777</v>
      </c>
      <c r="AJ69" s="32" t="n">
        <f aca="false">AJ65+AJ66+AJ68</f>
        <v>3186.85505141777</v>
      </c>
      <c r="AK69" s="32" t="n">
        <f aca="false">AK65+AK66+AK68</f>
        <v>3186.85505141777</v>
      </c>
      <c r="AL69" s="32" t="n">
        <f aca="false">AL65+AL66+AL68</f>
        <v>3186.85505141777</v>
      </c>
    </row>
    <row r="70" customFormat="false" ht="15" hidden="false" customHeight="false" outlineLevel="0" collapsed="false">
      <c r="A70" s="11" t="s">
        <v>174</v>
      </c>
      <c r="C70" s="19" t="n">
        <f aca="false">0</f>
        <v>0</v>
      </c>
      <c r="D70" s="19" t="n">
        <f aca="false">C71</f>
        <v>58003.0170514176</v>
      </c>
      <c r="E70" s="19" t="n">
        <f aca="false">D71</f>
        <v>60571.5341028354</v>
      </c>
      <c r="F70" s="19" t="n">
        <f aca="false">E71</f>
        <v>63140.0511542531</v>
      </c>
      <c r="G70" s="19" t="n">
        <f aca="false">F71</f>
        <v>65708.5682056709</v>
      </c>
      <c r="H70" s="19" t="n">
        <f aca="false">G71</f>
        <v>68277.0852570887</v>
      </c>
      <c r="I70" s="19" t="n">
        <f aca="false">H71</f>
        <v>70845.6023085065</v>
      </c>
      <c r="J70" s="19" t="n">
        <f aca="false">I71</f>
        <v>73414.1193599242</v>
      </c>
      <c r="K70" s="19" t="n">
        <f aca="false">J71</f>
        <v>75982.636411342</v>
      </c>
      <c r="L70" s="19" t="n">
        <f aca="false">K71</f>
        <v>78551.1534627598</v>
      </c>
      <c r="M70" s="19" t="n">
        <f aca="false">L71</f>
        <v>81119.6705141776</v>
      </c>
      <c r="N70" s="19" t="n">
        <f aca="false">M71</f>
        <v>83688.1875655953</v>
      </c>
      <c r="O70" s="19" t="n">
        <f aca="false">N71</f>
        <v>86256.7046170131</v>
      </c>
      <c r="P70" s="19" t="n">
        <f aca="false">O71</f>
        <v>89157.8566684309</v>
      </c>
      <c r="Q70" s="19" t="n">
        <f aca="false">P71</f>
        <v>92030.9737198486</v>
      </c>
      <c r="R70" s="19" t="n">
        <f aca="false">Q71</f>
        <v>94904.0907712664</v>
      </c>
      <c r="S70" s="19" t="n">
        <f aca="false">R71</f>
        <v>97777.2078226842</v>
      </c>
      <c r="T70" s="19" t="n">
        <f aca="false">S71</f>
        <v>100650.324874102</v>
      </c>
      <c r="U70" s="19" t="n">
        <f aca="false">T71</f>
        <v>103523.44192552</v>
      </c>
      <c r="V70" s="19" t="n">
        <f aca="false">U71</f>
        <v>106396.558976937</v>
      </c>
      <c r="W70" s="19" t="n">
        <f aca="false">V71</f>
        <v>109269.676028355</v>
      </c>
      <c r="X70" s="19" t="n">
        <f aca="false">W71</f>
        <v>112142.793079773</v>
      </c>
      <c r="Y70" s="19" t="n">
        <f aca="false">X71</f>
        <v>115015.910131191</v>
      </c>
      <c r="Z70" s="19" t="n">
        <f aca="false">Y71</f>
        <v>117889.027182609</v>
      </c>
      <c r="AA70" s="19" t="n">
        <f aca="false">Z71</f>
        <v>120762.144234026</v>
      </c>
      <c r="AB70" s="19" t="n">
        <f aca="false">AA71</f>
        <v>123977.875335444</v>
      </c>
      <c r="AC70" s="19" t="n">
        <f aca="false">AB71</f>
        <v>127164.730386862</v>
      </c>
      <c r="AD70" s="19" t="n">
        <f aca="false">AC71</f>
        <v>130351.58543828</v>
      </c>
      <c r="AE70" s="19" t="n">
        <f aca="false">AD71</f>
        <v>133538.440489697</v>
      </c>
      <c r="AF70" s="19" t="n">
        <f aca="false">AE71</f>
        <v>136725.295541115</v>
      </c>
      <c r="AG70" s="19" t="n">
        <f aca="false">AF71</f>
        <v>139912.150592533</v>
      </c>
      <c r="AH70" s="19" t="n">
        <f aca="false">AG71</f>
        <v>143099.005643951</v>
      </c>
      <c r="AI70" s="19" t="n">
        <f aca="false">AH71</f>
        <v>146285.860695368</v>
      </c>
      <c r="AJ70" s="19" t="n">
        <f aca="false">AI71</f>
        <v>149472.715746786</v>
      </c>
      <c r="AK70" s="19" t="n">
        <f aca="false">AJ71</f>
        <v>152659.570798204</v>
      </c>
      <c r="AL70" s="19" t="n">
        <f aca="false">AK71</f>
        <v>155846.425849622</v>
      </c>
    </row>
    <row r="71" customFormat="false" ht="15" hidden="false" customHeight="false" outlineLevel="0" collapsed="false">
      <c r="A71" s="4" t="s">
        <v>175</v>
      </c>
      <c r="C71" s="32" t="n">
        <f aca="false">C70+C69</f>
        <v>58003.0170514176</v>
      </c>
      <c r="D71" s="32" t="n">
        <f aca="false">D70+D69</f>
        <v>60571.5341028354</v>
      </c>
      <c r="E71" s="32" t="n">
        <f aca="false">E70+E69</f>
        <v>63140.0511542531</v>
      </c>
      <c r="F71" s="32" t="n">
        <f aca="false">F70+F69</f>
        <v>65708.5682056709</v>
      </c>
      <c r="G71" s="32" t="n">
        <f aca="false">G70+G69</f>
        <v>68277.0852570887</v>
      </c>
      <c r="H71" s="32" t="n">
        <f aca="false">H70+H69</f>
        <v>70845.6023085065</v>
      </c>
      <c r="I71" s="32" t="n">
        <f aca="false">I70+I69</f>
        <v>73414.1193599242</v>
      </c>
      <c r="J71" s="32" t="n">
        <f aca="false">J70+J69</f>
        <v>75982.636411342</v>
      </c>
      <c r="K71" s="32" t="n">
        <f aca="false">K70+K69</f>
        <v>78551.1534627598</v>
      </c>
      <c r="L71" s="32" t="n">
        <f aca="false">L70+L69</f>
        <v>81119.6705141776</v>
      </c>
      <c r="M71" s="32" t="n">
        <f aca="false">M70+M69</f>
        <v>83688.1875655953</v>
      </c>
      <c r="N71" s="32" t="n">
        <f aca="false">N70+N69</f>
        <v>86256.7046170131</v>
      </c>
      <c r="O71" s="32" t="n">
        <f aca="false">O70+O69</f>
        <v>89157.8566684309</v>
      </c>
      <c r="P71" s="32" t="n">
        <f aca="false">P70+P69</f>
        <v>92030.9737198486</v>
      </c>
      <c r="Q71" s="32" t="n">
        <f aca="false">Q70+Q69</f>
        <v>94904.0907712664</v>
      </c>
      <c r="R71" s="32" t="n">
        <f aca="false">R70+R69</f>
        <v>97777.2078226842</v>
      </c>
      <c r="S71" s="32" t="n">
        <f aca="false">S70+S69</f>
        <v>100650.324874102</v>
      </c>
      <c r="T71" s="32" t="n">
        <f aca="false">T70+T69</f>
        <v>103523.44192552</v>
      </c>
      <c r="U71" s="32" t="n">
        <f aca="false">U70+U69</f>
        <v>106396.558976937</v>
      </c>
      <c r="V71" s="32" t="n">
        <f aca="false">V70+V69</f>
        <v>109269.676028355</v>
      </c>
      <c r="W71" s="32" t="n">
        <f aca="false">W70+W69</f>
        <v>112142.793079773</v>
      </c>
      <c r="X71" s="32" t="n">
        <f aca="false">X70+X69</f>
        <v>115015.910131191</v>
      </c>
      <c r="Y71" s="32" t="n">
        <f aca="false">Y70+Y69</f>
        <v>117889.027182609</v>
      </c>
      <c r="Z71" s="32" t="n">
        <f aca="false">Z70+Z69</f>
        <v>120762.144234026</v>
      </c>
      <c r="AA71" s="32" t="n">
        <f aca="false">AA70+AA69</f>
        <v>123977.875335444</v>
      </c>
      <c r="AB71" s="32" t="n">
        <f aca="false">AB70+AB69</f>
        <v>127164.730386862</v>
      </c>
      <c r="AC71" s="32" t="n">
        <f aca="false">AC70+AC69</f>
        <v>130351.58543828</v>
      </c>
      <c r="AD71" s="32" t="n">
        <f aca="false">AD70+AD69</f>
        <v>133538.440489697</v>
      </c>
      <c r="AE71" s="32" t="n">
        <f aca="false">AE70+AE69</f>
        <v>136725.295541115</v>
      </c>
      <c r="AF71" s="32" t="n">
        <f aca="false">AF70+AF69</f>
        <v>139912.150592533</v>
      </c>
      <c r="AG71" s="32" t="n">
        <f aca="false">AG70+AG69</f>
        <v>143099.005643951</v>
      </c>
      <c r="AH71" s="32" t="n">
        <f aca="false">AH70+AH69</f>
        <v>146285.860695368</v>
      </c>
      <c r="AI71" s="32" t="n">
        <f aca="false">AI70+AI69</f>
        <v>149472.715746786</v>
      </c>
      <c r="AJ71" s="32" t="n">
        <f aca="false">AJ70+AJ69</f>
        <v>152659.570798204</v>
      </c>
      <c r="AK71" s="32" t="n">
        <f aca="false">AK70+AK69</f>
        <v>155846.425849622</v>
      </c>
      <c r="AL71" s="32" t="n">
        <f aca="false">AL70+AL69</f>
        <v>159033.28090104</v>
      </c>
    </row>
    <row r="72" customFormat="false" ht="15" hidden="false" customHeight="false" outlineLevel="0" collapsed="false">
      <c r="A72" s="17" t="s">
        <v>176</v>
      </c>
      <c r="C72" s="33" t="n">
        <f aca="false">IF(C26&gt;0,1,0)</f>
        <v>1</v>
      </c>
      <c r="D72" s="33" t="n">
        <f aca="false">IF(D26&gt;0,1,0)</f>
        <v>1</v>
      </c>
      <c r="E72" s="33" t="n">
        <f aca="false">IF(E26&gt;0,1,0)</f>
        <v>1</v>
      </c>
      <c r="F72" s="33" t="n">
        <f aca="false">IF(F26&gt;0,1,0)</f>
        <v>1</v>
      </c>
      <c r="G72" s="33" t="n">
        <f aca="false">IF(G26&gt;0,1,0)</f>
        <v>1</v>
      </c>
      <c r="H72" s="33" t="n">
        <f aca="false">IF(H26&gt;0,1,0)</f>
        <v>1</v>
      </c>
      <c r="I72" s="33" t="n">
        <f aca="false">IF(I26&gt;0,1,0)</f>
        <v>1</v>
      </c>
      <c r="J72" s="33" t="n">
        <f aca="false">IF(J26&gt;0,1,0)</f>
        <v>1</v>
      </c>
      <c r="K72" s="33" t="n">
        <f aca="false">IF(K26&gt;0,1,0)</f>
        <v>1</v>
      </c>
      <c r="L72" s="33" t="n">
        <f aca="false">IF(L26&gt;0,1,0)</f>
        <v>1</v>
      </c>
      <c r="M72" s="33" t="n">
        <f aca="false">IF(M26&gt;0,1,0)</f>
        <v>1</v>
      </c>
      <c r="N72" s="33" t="n">
        <f aca="false">IF(N26&gt;0,1,0)</f>
        <v>1</v>
      </c>
      <c r="O72" s="33" t="n">
        <f aca="false">IF(O26&gt;0,1,0)</f>
        <v>1</v>
      </c>
      <c r="P72" s="33" t="n">
        <f aca="false">IF(P26&gt;0,1,0)</f>
        <v>1</v>
      </c>
      <c r="Q72" s="33" t="n">
        <f aca="false">IF(Q26&gt;0,1,0)</f>
        <v>1</v>
      </c>
      <c r="R72" s="33" t="n">
        <f aca="false">IF(R26&gt;0,1,0)</f>
        <v>1</v>
      </c>
      <c r="S72" s="33" t="n">
        <f aca="false">IF(S26&gt;0,1,0)</f>
        <v>1</v>
      </c>
      <c r="T72" s="33" t="n">
        <f aca="false">IF(T26&gt;0,1,0)</f>
        <v>1</v>
      </c>
      <c r="U72" s="33" t="n">
        <f aca="false">IF(U26&gt;0,1,0)</f>
        <v>1</v>
      </c>
      <c r="V72" s="33" t="n">
        <f aca="false">IF(V26&gt;0,1,0)</f>
        <v>1</v>
      </c>
      <c r="W72" s="33" t="n">
        <f aca="false">IF(W26&gt;0,1,0)</f>
        <v>1</v>
      </c>
      <c r="X72" s="33" t="n">
        <f aca="false">IF(X26&gt;0,1,0)</f>
        <v>1</v>
      </c>
      <c r="Y72" s="33" t="n">
        <f aca="false">IF(Y26&gt;0,1,0)</f>
        <v>1</v>
      </c>
      <c r="Z72" s="33" t="n">
        <f aca="false">IF(Z26&gt;0,1,0)</f>
        <v>1</v>
      </c>
      <c r="AA72" s="33" t="n">
        <f aca="false">IF(AA26&gt;0,1,0)</f>
        <v>1</v>
      </c>
      <c r="AB72" s="33" t="n">
        <f aca="false">IF(AB26&gt;0,1,0)</f>
        <v>1</v>
      </c>
      <c r="AC72" s="33" t="n">
        <f aca="false">IF(AC26&gt;0,1,0)</f>
        <v>1</v>
      </c>
      <c r="AD72" s="33" t="n">
        <f aca="false">IF(AD26&gt;0,1,0)</f>
        <v>1</v>
      </c>
      <c r="AE72" s="33" t="n">
        <f aca="false">IF(AE26&gt;0,1,0)</f>
        <v>1</v>
      </c>
      <c r="AF72" s="33" t="n">
        <f aca="false">IF(AF26&gt;0,1,0)</f>
        <v>1</v>
      </c>
      <c r="AG72" s="33" t="n">
        <f aca="false">IF(AG26&gt;0,1,0)</f>
        <v>1</v>
      </c>
      <c r="AH72" s="33" t="n">
        <f aca="false">IF(AH26&gt;0,1,0)</f>
        <v>1</v>
      </c>
      <c r="AI72" s="33" t="n">
        <f aca="false">IF(AI26&gt;0,1,0)</f>
        <v>1</v>
      </c>
      <c r="AJ72" s="33" t="n">
        <f aca="false">IF(AJ26&gt;0,1,0)</f>
        <v>1</v>
      </c>
      <c r="AK72" s="33" t="n">
        <f aca="false">IF(AK26&gt;0,1,0)</f>
        <v>1</v>
      </c>
      <c r="AL72" s="33" t="n">
        <f aca="false">IF(AL26&gt;0,1,0)</f>
        <v>1</v>
      </c>
    </row>
    <row r="74" customFormat="false" ht="15" hidden="false" customHeight="false" outlineLevel="0" collapsed="false">
      <c r="A74" s="7" t="s">
        <v>177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customFormat="false" ht="15" hidden="false" customHeight="false" outlineLevel="0" collapsed="false">
      <c r="A75" s="11" t="s">
        <v>178</v>
      </c>
      <c r="C75" s="19" t="n">
        <f aca="false">C67</f>
        <v>760000</v>
      </c>
      <c r="D75" s="19" t="n">
        <f aca="false">C75+D67</f>
        <v>760000</v>
      </c>
      <c r="E75" s="19" t="n">
        <f aca="false">D75+E67</f>
        <v>760000</v>
      </c>
      <c r="F75" s="19" t="n">
        <f aca="false">E75+F67</f>
        <v>760000</v>
      </c>
      <c r="G75" s="19" t="n">
        <f aca="false">F75+G67</f>
        <v>760000</v>
      </c>
      <c r="H75" s="19" t="n">
        <f aca="false">G75+H67</f>
        <v>760000</v>
      </c>
      <c r="I75" s="19" t="n">
        <f aca="false">H75+I67</f>
        <v>760000</v>
      </c>
      <c r="J75" s="19" t="n">
        <f aca="false">I75+J67</f>
        <v>760000</v>
      </c>
      <c r="K75" s="19" t="n">
        <f aca="false">J75+K67</f>
        <v>760000</v>
      </c>
      <c r="L75" s="19" t="n">
        <f aca="false">K75+L67</f>
        <v>760000</v>
      </c>
      <c r="M75" s="19" t="n">
        <f aca="false">L75+M67</f>
        <v>760000</v>
      </c>
      <c r="N75" s="19" t="n">
        <f aca="false">M75+N67</f>
        <v>760000</v>
      </c>
      <c r="O75" s="19" t="n">
        <f aca="false">N75+O67</f>
        <v>760000</v>
      </c>
      <c r="P75" s="19" t="n">
        <f aca="false">O75+P67</f>
        <v>760000</v>
      </c>
      <c r="Q75" s="19" t="n">
        <f aca="false">P75+Q67</f>
        <v>760000</v>
      </c>
      <c r="R75" s="19" t="n">
        <f aca="false">Q75+R67</f>
        <v>760000</v>
      </c>
      <c r="S75" s="19" t="n">
        <f aca="false">R75+S67</f>
        <v>760000</v>
      </c>
      <c r="T75" s="19" t="n">
        <f aca="false">S75+T67</f>
        <v>760000</v>
      </c>
      <c r="U75" s="19" t="n">
        <f aca="false">T75+U67</f>
        <v>760000</v>
      </c>
      <c r="V75" s="19" t="n">
        <f aca="false">U75+V67</f>
        <v>760000</v>
      </c>
      <c r="W75" s="19" t="n">
        <f aca="false">V75+W67</f>
        <v>760000</v>
      </c>
      <c r="X75" s="19" t="n">
        <f aca="false">W75+X67</f>
        <v>760000</v>
      </c>
      <c r="Y75" s="19" t="n">
        <f aca="false">X75+Y67</f>
        <v>760000</v>
      </c>
      <c r="Z75" s="19" t="n">
        <f aca="false">Y75+Z67</f>
        <v>760000</v>
      </c>
      <c r="AA75" s="19" t="n">
        <f aca="false">Z75+AA67</f>
        <v>760000</v>
      </c>
      <c r="AB75" s="19" t="n">
        <f aca="false">AA75+AB67</f>
        <v>760000</v>
      </c>
      <c r="AC75" s="19" t="n">
        <f aca="false">AB75+AC67</f>
        <v>760000</v>
      </c>
      <c r="AD75" s="19" t="n">
        <f aca="false">AC75+AD67</f>
        <v>760000</v>
      </c>
      <c r="AE75" s="19" t="n">
        <f aca="false">AD75+AE67</f>
        <v>760000</v>
      </c>
      <c r="AF75" s="19" t="n">
        <f aca="false">AE75+AF67</f>
        <v>760000</v>
      </c>
      <c r="AG75" s="19" t="n">
        <f aca="false">AF75+AG67</f>
        <v>760000</v>
      </c>
      <c r="AH75" s="19" t="n">
        <f aca="false">AG75+AH67</f>
        <v>760000</v>
      </c>
      <c r="AI75" s="19" t="n">
        <f aca="false">AH75+AI67</f>
        <v>760000</v>
      </c>
      <c r="AJ75" s="19" t="n">
        <f aca="false">AI75+AJ67</f>
        <v>760000</v>
      </c>
      <c r="AK75" s="19" t="n">
        <f aca="false">AJ75+AK67</f>
        <v>760000</v>
      </c>
      <c r="AL75" s="19" t="n">
        <f aca="false">AK75+AL67</f>
        <v>760000</v>
      </c>
    </row>
    <row r="76" customFormat="false" ht="15" hidden="false" customHeight="false" outlineLevel="0" collapsed="false">
      <c r="A76" s="11" t="s">
        <v>179</v>
      </c>
      <c r="C76" s="19" t="n">
        <f aca="false">C35</f>
        <v>-795.097736625515</v>
      </c>
      <c r="D76" s="19" t="n">
        <f aca="false">C76+D35</f>
        <v>-1585.21959081864</v>
      </c>
      <c r="E76" s="19" t="n">
        <f aca="false">D76+E35</f>
        <v>-2370.33373376832</v>
      </c>
      <c r="F76" s="19" t="n">
        <f aca="false">E76+F35</f>
        <v>-3150.40816425745</v>
      </c>
      <c r="G76" s="19" t="n">
        <f aca="false">F76+G35</f>
        <v>-3925.41070772899</v>
      </c>
      <c r="H76" s="19" t="n">
        <f aca="false">G76+H35</f>
        <v>-4695.30901534706</v>
      </c>
      <c r="I76" s="19" t="n">
        <f aca="false">H76+I35</f>
        <v>-5460.07056305292</v>
      </c>
      <c r="J76" s="19" t="n">
        <f aca="false">I76+J35</f>
        <v>-6219.66265061582</v>
      </c>
      <c r="K76" s="19" t="n">
        <f aca="false">J76+K35</f>
        <v>-6974.0524006788</v>
      </c>
      <c r="L76" s="19" t="n">
        <f aca="false">K76+L35</f>
        <v>-7723.20675779918</v>
      </c>
      <c r="M76" s="19" t="n">
        <f aca="false">L76+M35</f>
        <v>-8467.09248748398</v>
      </c>
      <c r="N76" s="19" t="n">
        <f aca="false">M76+N35</f>
        <v>-9205.67617522005</v>
      </c>
      <c r="O76" s="19" t="n">
        <f aca="false">N76+O35</f>
        <v>-9625.60123167181</v>
      </c>
      <c r="P76" s="19" t="n">
        <f aca="false">O76+P35</f>
        <v>-10040.1838793552</v>
      </c>
      <c r="Q76" s="19" t="n">
        <f aca="false">P76+Q35</f>
        <v>-10449.3901578246</v>
      </c>
      <c r="R76" s="19" t="n">
        <f aca="false">Q76+R35</f>
        <v>-10853.1859226823</v>
      </c>
      <c r="S76" s="19" t="n">
        <f aca="false">R76+S35</f>
        <v>-11251.5368445815</v>
      </c>
      <c r="T76" s="19" t="n">
        <f aca="false">S76+T35</f>
        <v>-11644.4084082249</v>
      </c>
      <c r="U76" s="19" t="n">
        <f aca="false">T76+U35</f>
        <v>-12031.7659113573</v>
      </c>
      <c r="V76" s="19" t="n">
        <f aca="false">U76+V35</f>
        <v>-12413.5744637529</v>
      </c>
      <c r="W76" s="19" t="n">
        <f aca="false">V76+W35</f>
        <v>-12789.7989861973</v>
      </c>
      <c r="X76" s="19" t="n">
        <f aca="false">W76+X35</f>
        <v>-13160.4042094636</v>
      </c>
      <c r="Y76" s="19" t="n">
        <f aca="false">X76+Y35</f>
        <v>-13525.3546732832</v>
      </c>
      <c r="Z76" s="19" t="n">
        <f aca="false">Y76+Z35</f>
        <v>-13884.6147253113</v>
      </c>
      <c r="AA76" s="19" t="n">
        <f aca="false">Z76+AA35</f>
        <v>-13915.4258364439</v>
      </c>
      <c r="AB76" s="19" t="n">
        <f aca="false">AA76+AB35</f>
        <v>-13940.5024670564</v>
      </c>
      <c r="AC76" s="19" t="n">
        <f aca="false">AB76+AC35</f>
        <v>-13959.8083823092</v>
      </c>
      <c r="AD76" s="19" t="n">
        <f aca="false">AC76+AD35</f>
        <v>-13973.307151091</v>
      </c>
      <c r="AE76" s="19" t="n">
        <f aca="false">AD76+AE35</f>
        <v>-13980.9621449551</v>
      </c>
      <c r="AF76" s="19" t="n">
        <f aca="false">AE76+AF35</f>
        <v>-13982.7365370508</v>
      </c>
      <c r="AG76" s="19" t="n">
        <f aca="false">AF76+AG35</f>
        <v>-13978.5933010487</v>
      </c>
      <c r="AH76" s="19" t="n">
        <f aca="false">AG76+AH35</f>
        <v>-13968.4952100598</v>
      </c>
      <c r="AI76" s="19" t="n">
        <f aca="false">AH76+AI35</f>
        <v>-13952.4048355499</v>
      </c>
      <c r="AJ76" s="19" t="n">
        <f aca="false">AI76+AJ35</f>
        <v>-13930.2845462465</v>
      </c>
      <c r="AK76" s="19" t="n">
        <f aca="false">AJ76+AK35</f>
        <v>-13902.0965070414</v>
      </c>
      <c r="AL76" s="19" t="n">
        <f aca="false">AK76+AL35</f>
        <v>-13867.8026778858</v>
      </c>
    </row>
    <row r="77" customFormat="false" ht="15" hidden="false" customHeight="false" outlineLevel="0" collapsed="false">
      <c r="A77" s="4" t="s">
        <v>180</v>
      </c>
      <c r="C77" s="15" t="n">
        <f aca="false">C71+C57+C58+C46</f>
        <v>1959054.58598146</v>
      </c>
      <c r="D77" s="15" t="n">
        <f aca="false">D71+D57+D58+D46</f>
        <v>1957173.77175716</v>
      </c>
      <c r="E77" s="15" t="n">
        <f aca="false">E71+E57+E58+E46</f>
        <v>1955292.05732709</v>
      </c>
      <c r="F77" s="15" t="n">
        <f aca="false">F71+F57+F58+F46</f>
        <v>1953409.44269127</v>
      </c>
      <c r="G77" s="15" t="n">
        <f aca="false">G71+G57+G58+G46</f>
        <v>1951525.92784968</v>
      </c>
      <c r="H77" s="15" t="n">
        <f aca="false">H71+H57+H58+H46</f>
        <v>1949641.51280233</v>
      </c>
      <c r="I77" s="15" t="n">
        <f aca="false">I71+I57+I58+I46</f>
        <v>1947756.19754923</v>
      </c>
      <c r="J77" s="15" t="n">
        <f aca="false">J71+J57+J58+J46</f>
        <v>1945869.98209036</v>
      </c>
      <c r="K77" s="15" t="n">
        <f aca="false">K71+K57+K58+K46</f>
        <v>1943982.86642572</v>
      </c>
      <c r="L77" s="15" t="n">
        <f aca="false">L71+L57+L58+L46</f>
        <v>1942094.85055533</v>
      </c>
      <c r="M77" s="15" t="n">
        <f aca="false">M71+M57+M58+M46</f>
        <v>1940205.93447918</v>
      </c>
      <c r="N77" s="15" t="n">
        <f aca="false">N71+N57+N58+N46</f>
        <v>1938316.11819726</v>
      </c>
      <c r="O77" s="15" t="n">
        <f aca="false">O71+O57+O58+O46</f>
        <v>1936766.75970341</v>
      </c>
      <c r="P77" s="15" t="n">
        <f aca="false">P71+P57+P58+P46</f>
        <v>1935188.43899763</v>
      </c>
      <c r="Q77" s="15" t="n">
        <f aca="false">Q71+Q57+Q58+Q46</f>
        <v>1933609.19107991</v>
      </c>
      <c r="R77" s="15" t="n">
        <f aca="false">R71+R57+R58+R46</f>
        <v>1932029.01595026</v>
      </c>
      <c r="S77" s="15" t="n">
        <f aca="false">S71+S57+S58+S46</f>
        <v>1930447.91360867</v>
      </c>
      <c r="T77" s="15" t="n">
        <f aca="false">T71+T57+T58+T46</f>
        <v>1928865.88405515</v>
      </c>
      <c r="U77" s="15" t="n">
        <f aca="false">U71+U57+U58+U46</f>
        <v>1927282.9272897</v>
      </c>
      <c r="V77" s="15" t="n">
        <f aca="false">V71+V57+V58+V46</f>
        <v>1925699.04331231</v>
      </c>
      <c r="W77" s="15" t="n">
        <f aca="false">W71+W57+W58+W46</f>
        <v>1924114.23212298</v>
      </c>
      <c r="X77" s="15" t="n">
        <f aca="false">X71+X57+X58+X46</f>
        <v>1922528.49372173</v>
      </c>
      <c r="Y77" s="15" t="n">
        <f aca="false">Y71+Y57+Y58+Y46</f>
        <v>1920941.82810854</v>
      </c>
      <c r="Z77" s="15" t="n">
        <f aca="false">Z71+Z57+Z58+Z46</f>
        <v>1919354.23528341</v>
      </c>
      <c r="AA77" s="15" t="n">
        <f aca="false">AA71+AA57+AA58+AA46</f>
        <v>1918117.31397999</v>
      </c>
      <c r="AB77" s="15" t="n">
        <f aca="false">AB71+AB57+AB58+AB46</f>
        <v>1916850.56159828</v>
      </c>
      <c r="AC77" s="15" t="n">
        <f aca="false">AC71+AC57+AC58+AC46</f>
        <v>1915582.85418828</v>
      </c>
      <c r="AD77" s="15" t="n">
        <f aca="false">AD71+AD57+AD58+AD46</f>
        <v>1914314.19174999</v>
      </c>
      <c r="AE77" s="15" t="n">
        <f aca="false">AE71+AE57+AE58+AE46</f>
        <v>1913044.5742834</v>
      </c>
      <c r="AF77" s="15" t="n">
        <f aca="false">AF71+AF57+AF58+AF46</f>
        <v>1911774.00178852</v>
      </c>
      <c r="AG77" s="15" t="n">
        <f aca="false">AG71+AG57+AG58+AG46</f>
        <v>1910502.47426535</v>
      </c>
      <c r="AH77" s="15" t="n">
        <f aca="false">AH71+AH57+AH58+AH46</f>
        <v>1909229.99171389</v>
      </c>
      <c r="AI77" s="15" t="n">
        <f aca="false">AI71+AI57+AI58+AI46</f>
        <v>1907956.55413413</v>
      </c>
      <c r="AJ77" s="15" t="n">
        <f aca="false">AJ71+AJ57+AJ58+AJ46</f>
        <v>1906682.16152609</v>
      </c>
      <c r="AK77" s="15" t="n">
        <f aca="false">AK71+AK57+AK58+AK46</f>
        <v>1905406.81388975</v>
      </c>
      <c r="AL77" s="15" t="n">
        <f aca="false">AL71+AL57+AL58+AL46</f>
        <v>1904130.51122512</v>
      </c>
    </row>
    <row r="78" customFormat="false" ht="15" hidden="false" customHeight="false" outlineLevel="0" collapsed="false">
      <c r="A78" s="11" t="s">
        <v>181</v>
      </c>
      <c r="C78" s="19" t="n">
        <f aca="false">C59+C54</f>
        <v>1199849.68371808</v>
      </c>
      <c r="D78" s="19" t="n">
        <f aca="false">D59+D54</f>
        <v>1198758.99134798</v>
      </c>
      <c r="E78" s="19" t="n">
        <f aca="false">E59+E54</f>
        <v>1197662.39106086</v>
      </c>
      <c r="F78" s="19" t="n">
        <f aca="false">F59+F54</f>
        <v>1196559.85085553</v>
      </c>
      <c r="G78" s="19" t="n">
        <f aca="false">G59+G54</f>
        <v>1195451.33855741</v>
      </c>
      <c r="H78" s="19" t="n">
        <f aca="false">H59+H54</f>
        <v>1194336.82181768</v>
      </c>
      <c r="I78" s="19" t="n">
        <f aca="false">I59+I54</f>
        <v>1193216.26811228</v>
      </c>
      <c r="J78" s="19" t="n">
        <f aca="false">J59+J54</f>
        <v>1192089.64474097</v>
      </c>
      <c r="K78" s="19" t="n">
        <f aca="false">K59+K54</f>
        <v>1190956.9188264</v>
      </c>
      <c r="L78" s="19" t="n">
        <f aca="false">L59+L54</f>
        <v>1189818.05731313</v>
      </c>
      <c r="M78" s="19" t="n">
        <f aca="false">M59+M54</f>
        <v>1188673.02696666</v>
      </c>
      <c r="N78" s="19" t="n">
        <f aca="false">N59+N54</f>
        <v>1187521.79437248</v>
      </c>
      <c r="O78" s="19" t="n">
        <f aca="false">O59+O54</f>
        <v>1186392.36093508</v>
      </c>
      <c r="P78" s="19" t="n">
        <f aca="false">P59+P54</f>
        <v>1185228.62287698</v>
      </c>
      <c r="Q78" s="19" t="n">
        <f aca="false">Q59+Q54</f>
        <v>1184058.58123773</v>
      </c>
      <c r="R78" s="19" t="n">
        <f aca="false">R59+R54</f>
        <v>1182882.20187294</v>
      </c>
      <c r="S78" s="19" t="n">
        <f aca="false">S59+S54</f>
        <v>1181699.45045325</v>
      </c>
      <c r="T78" s="19" t="n">
        <f aca="false">T59+T54</f>
        <v>1180510.29246337</v>
      </c>
      <c r="U78" s="19" t="n">
        <f aca="false">U59+U54</f>
        <v>1179314.69320105</v>
      </c>
      <c r="V78" s="19" t="n">
        <f aca="false">V59+V54</f>
        <v>1178112.61777606</v>
      </c>
      <c r="W78" s="19" t="n">
        <f aca="false">W59+W54</f>
        <v>1176904.03110918</v>
      </c>
      <c r="X78" s="19" t="n">
        <f aca="false">X59+X54</f>
        <v>1175688.89793119</v>
      </c>
      <c r="Y78" s="19" t="n">
        <f aca="false">Y59+Y54</f>
        <v>1174467.18278182</v>
      </c>
      <c r="Z78" s="19" t="n">
        <f aca="false">Z59+Z54</f>
        <v>1173238.85000872</v>
      </c>
      <c r="AA78" s="19" t="n">
        <f aca="false">AA59+AA54</f>
        <v>1172032.73981644</v>
      </c>
      <c r="AB78" s="19" t="n">
        <f aca="false">AB59+AB54</f>
        <v>1170791.06406534</v>
      </c>
      <c r="AC78" s="19" t="n">
        <f aca="false">AC59+AC54</f>
        <v>1169542.66257059</v>
      </c>
      <c r="AD78" s="19" t="n">
        <f aca="false">AD59+AD54</f>
        <v>1168287.49890108</v>
      </c>
      <c r="AE78" s="19" t="n">
        <f aca="false">AE59+AE54</f>
        <v>1167025.53642835</v>
      </c>
      <c r="AF78" s="19" t="n">
        <f aca="false">AF59+AF54</f>
        <v>1165756.73832557</v>
      </c>
      <c r="AG78" s="19" t="n">
        <f aca="false">AG59+AG54</f>
        <v>1164481.0675664</v>
      </c>
      <c r="AH78" s="19" t="n">
        <f aca="false">AH59+AH54</f>
        <v>1163198.48692395</v>
      </c>
      <c r="AI78" s="19" t="n">
        <f aca="false">AI59+AI54</f>
        <v>1161908.95896968</v>
      </c>
      <c r="AJ78" s="19" t="n">
        <f aca="false">AJ59+AJ54</f>
        <v>1160612.44607233</v>
      </c>
      <c r="AK78" s="19" t="n">
        <f aca="false">AK59+AK54</f>
        <v>1159308.91039679</v>
      </c>
      <c r="AL78" s="19" t="n">
        <f aca="false">AL59+AL54</f>
        <v>1157998.313903</v>
      </c>
    </row>
    <row r="79" customFormat="false" ht="15" hidden="false" customHeight="false" outlineLevel="0" collapsed="false">
      <c r="A79" s="11" t="s">
        <v>182</v>
      </c>
      <c r="C79" s="19" t="n">
        <f aca="false">C75+C76</f>
        <v>759204.902263375</v>
      </c>
      <c r="D79" s="19" t="n">
        <f aca="false">D75+D76</f>
        <v>758414.780409181</v>
      </c>
      <c r="E79" s="19" t="n">
        <f aca="false">E75+E76</f>
        <v>757629.666266232</v>
      </c>
      <c r="F79" s="19" t="n">
        <f aca="false">F75+F76</f>
        <v>756849.591835743</v>
      </c>
      <c r="G79" s="19" t="n">
        <f aca="false">G75+G76</f>
        <v>756074.589292271</v>
      </c>
      <c r="H79" s="19" t="n">
        <f aca="false">H75+H76</f>
        <v>755304.690984653</v>
      </c>
      <c r="I79" s="19" t="n">
        <f aca="false">I75+I76</f>
        <v>754539.929436947</v>
      </c>
      <c r="J79" s="19" t="n">
        <f aca="false">J75+J76</f>
        <v>753780.337349384</v>
      </c>
      <c r="K79" s="19" t="n">
        <f aca="false">K75+K76</f>
        <v>753025.947599321</v>
      </c>
      <c r="L79" s="19" t="n">
        <f aca="false">L75+L76</f>
        <v>752276.793242201</v>
      </c>
      <c r="M79" s="19" t="n">
        <f aca="false">M75+M76</f>
        <v>751532.907512516</v>
      </c>
      <c r="N79" s="19" t="n">
        <f aca="false">N75+N76</f>
        <v>750794.32382478</v>
      </c>
      <c r="O79" s="19" t="n">
        <f aca="false">O75+O76</f>
        <v>750374.398768328</v>
      </c>
      <c r="P79" s="19" t="n">
        <f aca="false">P75+P76</f>
        <v>749959.816120645</v>
      </c>
      <c r="Q79" s="19" t="n">
        <f aca="false">Q75+Q76</f>
        <v>749550.609842175</v>
      </c>
      <c r="R79" s="19" t="n">
        <f aca="false">R75+R76</f>
        <v>749146.814077318</v>
      </c>
      <c r="S79" s="19" t="n">
        <f aca="false">S75+S76</f>
        <v>748748.463155419</v>
      </c>
      <c r="T79" s="19" t="n">
        <f aca="false">T75+T76</f>
        <v>748355.591591775</v>
      </c>
      <c r="U79" s="19" t="n">
        <f aca="false">U75+U76</f>
        <v>747968.234088643</v>
      </c>
      <c r="V79" s="19" t="n">
        <f aca="false">V75+V76</f>
        <v>747586.425536247</v>
      </c>
      <c r="W79" s="19" t="n">
        <f aca="false">W75+W76</f>
        <v>747210.201013803</v>
      </c>
      <c r="X79" s="19" t="n">
        <f aca="false">X75+X76</f>
        <v>746839.595790536</v>
      </c>
      <c r="Y79" s="19" t="n">
        <f aca="false">Y75+Y76</f>
        <v>746474.645326717</v>
      </c>
      <c r="Z79" s="19" t="n">
        <f aca="false">Z75+Z76</f>
        <v>746115.385274689</v>
      </c>
      <c r="AA79" s="19" t="n">
        <f aca="false">AA75+AA76</f>
        <v>746084.574163556</v>
      </c>
      <c r="AB79" s="19" t="n">
        <f aca="false">AB75+AB76</f>
        <v>746059.497532944</v>
      </c>
      <c r="AC79" s="19" t="n">
        <f aca="false">AC75+AC76</f>
        <v>746040.191617691</v>
      </c>
      <c r="AD79" s="19" t="n">
        <f aca="false">AD75+AD76</f>
        <v>746026.692848909</v>
      </c>
      <c r="AE79" s="19" t="n">
        <f aca="false">AE75+AE76</f>
        <v>746019.037855045</v>
      </c>
      <c r="AF79" s="19" t="n">
        <f aca="false">AF75+AF76</f>
        <v>746017.263462949</v>
      </c>
      <c r="AG79" s="19" t="n">
        <f aca="false">AG75+AG76</f>
        <v>746021.406698951</v>
      </c>
      <c r="AH79" s="19" t="n">
        <f aca="false">AH75+AH76</f>
        <v>746031.50478994</v>
      </c>
      <c r="AI79" s="19" t="n">
        <f aca="false">AI75+AI76</f>
        <v>746047.59516445</v>
      </c>
      <c r="AJ79" s="19" t="n">
        <f aca="false">AJ75+AJ76</f>
        <v>746069.715453754</v>
      </c>
      <c r="AK79" s="19" t="n">
        <f aca="false">AK75+AK76</f>
        <v>746097.903492959</v>
      </c>
      <c r="AL79" s="19" t="n">
        <f aca="false">AL75+AL76</f>
        <v>746132.197322114</v>
      </c>
    </row>
    <row r="80" customFormat="false" ht="15" hidden="false" customHeight="false" outlineLevel="0" collapsed="false">
      <c r="A80" s="4" t="s">
        <v>183</v>
      </c>
      <c r="C80" s="15" t="n">
        <f aca="false">C78+C79</f>
        <v>1959054.58598146</v>
      </c>
      <c r="D80" s="15" t="n">
        <f aca="false">D78+D79</f>
        <v>1957173.77175716</v>
      </c>
      <c r="E80" s="15" t="n">
        <f aca="false">E78+E79</f>
        <v>1955292.05732709</v>
      </c>
      <c r="F80" s="15" t="n">
        <f aca="false">F78+F79</f>
        <v>1953409.44269127</v>
      </c>
      <c r="G80" s="15" t="n">
        <f aca="false">G78+G79</f>
        <v>1951525.92784968</v>
      </c>
      <c r="H80" s="15" t="n">
        <f aca="false">H78+H79</f>
        <v>1949641.51280233</v>
      </c>
      <c r="I80" s="15" t="n">
        <f aca="false">I78+I79</f>
        <v>1947756.19754922</v>
      </c>
      <c r="J80" s="15" t="n">
        <f aca="false">J78+J79</f>
        <v>1945869.98209035</v>
      </c>
      <c r="K80" s="15" t="n">
        <f aca="false">K78+K79</f>
        <v>1943982.86642572</v>
      </c>
      <c r="L80" s="15" t="n">
        <f aca="false">L78+L79</f>
        <v>1942094.85055533</v>
      </c>
      <c r="M80" s="15" t="n">
        <f aca="false">M78+M79</f>
        <v>1940205.93447918</v>
      </c>
      <c r="N80" s="15" t="n">
        <f aca="false">N78+N79</f>
        <v>1938316.11819726</v>
      </c>
      <c r="O80" s="15" t="n">
        <f aca="false">O78+O79</f>
        <v>1936766.75970341</v>
      </c>
      <c r="P80" s="15" t="n">
        <f aca="false">P78+P79</f>
        <v>1935188.43899763</v>
      </c>
      <c r="Q80" s="15" t="n">
        <f aca="false">Q78+Q79</f>
        <v>1933609.19107991</v>
      </c>
      <c r="R80" s="15" t="n">
        <f aca="false">R78+R79</f>
        <v>1932029.01595026</v>
      </c>
      <c r="S80" s="15" t="n">
        <f aca="false">S78+S79</f>
        <v>1930447.91360867</v>
      </c>
      <c r="T80" s="15" t="n">
        <f aca="false">T78+T79</f>
        <v>1928865.88405515</v>
      </c>
      <c r="U80" s="15" t="n">
        <f aca="false">U78+U79</f>
        <v>1927282.92728969</v>
      </c>
      <c r="V80" s="15" t="n">
        <f aca="false">V78+V79</f>
        <v>1925699.04331231</v>
      </c>
      <c r="W80" s="15" t="n">
        <f aca="false">W78+W79</f>
        <v>1924114.23212298</v>
      </c>
      <c r="X80" s="15" t="n">
        <f aca="false">X78+X79</f>
        <v>1922528.49372173</v>
      </c>
      <c r="Y80" s="15" t="n">
        <f aca="false">Y78+Y79</f>
        <v>1920941.82810853</v>
      </c>
      <c r="Z80" s="15" t="n">
        <f aca="false">Z78+Z79</f>
        <v>1919354.23528341</v>
      </c>
      <c r="AA80" s="15" t="n">
        <f aca="false">AA78+AA79</f>
        <v>1918117.31397999</v>
      </c>
      <c r="AB80" s="15" t="n">
        <f aca="false">AB78+AB79</f>
        <v>1916850.56159828</v>
      </c>
      <c r="AC80" s="15" t="n">
        <f aca="false">AC78+AC79</f>
        <v>1915582.85418828</v>
      </c>
      <c r="AD80" s="15" t="n">
        <f aca="false">AD78+AD79</f>
        <v>1914314.19174999</v>
      </c>
      <c r="AE80" s="15" t="n">
        <f aca="false">AE78+AE79</f>
        <v>1913044.5742834</v>
      </c>
      <c r="AF80" s="15" t="n">
        <f aca="false">AF78+AF79</f>
        <v>1911774.00178852</v>
      </c>
      <c r="AG80" s="15" t="n">
        <f aca="false">AG78+AG79</f>
        <v>1910502.47426535</v>
      </c>
      <c r="AH80" s="15" t="n">
        <f aca="false">AH78+AH79</f>
        <v>1909229.99171389</v>
      </c>
      <c r="AI80" s="15" t="n">
        <f aca="false">AI78+AI79</f>
        <v>1907956.55413413</v>
      </c>
      <c r="AJ80" s="15" t="n">
        <f aca="false">AJ78+AJ79</f>
        <v>1906682.16152608</v>
      </c>
      <c r="AK80" s="15" t="n">
        <f aca="false">AK78+AK79</f>
        <v>1905406.81388975</v>
      </c>
      <c r="AL80" s="15" t="n">
        <f aca="false">AL78+AL79</f>
        <v>1904130.51122511</v>
      </c>
    </row>
    <row r="81" customFormat="false" ht="15" hidden="false" customHeight="false" outlineLevel="0" collapsed="false">
      <c r="A81" s="11" t="s">
        <v>184</v>
      </c>
      <c r="C81" s="19" t="n">
        <f aca="false">C77-C80</f>
        <v>0</v>
      </c>
      <c r="D81" s="19" t="n">
        <f aca="false">D77-D80</f>
        <v>0</v>
      </c>
      <c r="E81" s="19" t="n">
        <f aca="false">E77-E80</f>
        <v>0</v>
      </c>
      <c r="F81" s="19" t="n">
        <f aca="false">F77-F80</f>
        <v>0</v>
      </c>
      <c r="G81" s="19" t="n">
        <f aca="false">G77-G80</f>
        <v>0</v>
      </c>
      <c r="H81" s="19" t="n">
        <f aca="false">H77-H80</f>
        <v>0</v>
      </c>
      <c r="I81" s="19" t="n">
        <f aca="false">I77-I80</f>
        <v>0</v>
      </c>
      <c r="J81" s="19" t="n">
        <f aca="false">J77-J80</f>
        <v>0</v>
      </c>
      <c r="K81" s="19" t="n">
        <f aca="false">K77-K80</f>
        <v>0</v>
      </c>
      <c r="L81" s="19" t="n">
        <f aca="false">L77-L80</f>
        <v>0</v>
      </c>
      <c r="M81" s="19" t="n">
        <f aca="false">M77-M80</f>
        <v>0</v>
      </c>
      <c r="N81" s="19" t="n">
        <f aca="false">N77-N80</f>
        <v>0</v>
      </c>
      <c r="O81" s="19" t="n">
        <f aca="false">O77-O80</f>
        <v>0</v>
      </c>
      <c r="P81" s="19" t="n">
        <f aca="false">P77-P80</f>
        <v>0</v>
      </c>
      <c r="Q81" s="19" t="n">
        <f aca="false">Q77-Q80</f>
        <v>0</v>
      </c>
      <c r="R81" s="19" t="n">
        <f aca="false">R77-R80</f>
        <v>0</v>
      </c>
      <c r="S81" s="19" t="n">
        <f aca="false">S77-S80</f>
        <v>0</v>
      </c>
      <c r="T81" s="19" t="n">
        <f aca="false">T77-T80</f>
        <v>0</v>
      </c>
      <c r="U81" s="19" t="n">
        <f aca="false">U77-U80</f>
        <v>0</v>
      </c>
      <c r="V81" s="19" t="n">
        <f aca="false">V77-V80</f>
        <v>0</v>
      </c>
      <c r="W81" s="19" t="n">
        <f aca="false">W77-W80</f>
        <v>0</v>
      </c>
      <c r="X81" s="19" t="n">
        <f aca="false">X77-X80</f>
        <v>0</v>
      </c>
      <c r="Y81" s="19" t="n">
        <f aca="false">Y77-Y80</f>
        <v>0</v>
      </c>
      <c r="Z81" s="19" t="n">
        <f aca="false">Z77-Z80</f>
        <v>0</v>
      </c>
      <c r="AA81" s="19" t="n">
        <f aca="false">AA77-AA80</f>
        <v>0</v>
      </c>
      <c r="AB81" s="19" t="n">
        <f aca="false">AB77-AB80</f>
        <v>0</v>
      </c>
      <c r="AC81" s="19" t="n">
        <f aca="false">AC77-AC80</f>
        <v>0</v>
      </c>
      <c r="AD81" s="19" t="n">
        <f aca="false">AD77-AD80</f>
        <v>0</v>
      </c>
      <c r="AE81" s="19" t="n">
        <f aca="false">AE77-AE80</f>
        <v>0</v>
      </c>
      <c r="AF81" s="19" t="n">
        <f aca="false">AF77-AF80</f>
        <v>0</v>
      </c>
      <c r="AG81" s="19" t="n">
        <f aca="false">AG77-AG80</f>
        <v>0</v>
      </c>
      <c r="AH81" s="19" t="n">
        <f aca="false">AH77-AH80</f>
        <v>0</v>
      </c>
      <c r="AI81" s="19" t="n">
        <f aca="false">AI77-AI80</f>
        <v>0</v>
      </c>
      <c r="AJ81" s="19" t="n">
        <f aca="false">AJ77-AJ80</f>
        <v>0</v>
      </c>
      <c r="AK81" s="19" t="n">
        <f aca="false">AK77-AK80</f>
        <v>0</v>
      </c>
      <c r="AL81" s="19" t="n">
        <f aca="false">AL77-AL80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4"/>
  </cols>
  <sheetData>
    <row r="1" customFormat="false" ht="24" hidden="false" customHeight="true" outlineLevel="0" collapsed="false">
      <c r="A1" s="1" t="s">
        <v>185</v>
      </c>
      <c r="B1" s="2"/>
      <c r="C1" s="2"/>
      <c r="D1" s="2"/>
    </row>
    <row r="2" customFormat="false" ht="15" hidden="false" customHeight="false" outlineLevel="0" collapsed="false">
      <c r="A2" s="3" t="s">
        <v>186</v>
      </c>
    </row>
    <row r="3" customFormat="false" ht="15" hidden="false" customHeight="false" outlineLevel="0" collapsed="false">
      <c r="A3" s="17" t="s">
        <v>21</v>
      </c>
      <c r="B3" s="17" t="n">
        <v>1</v>
      </c>
      <c r="C3" s="17" t="n">
        <v>2</v>
      </c>
      <c r="D3" s="17" t="n">
        <v>3</v>
      </c>
    </row>
    <row r="4" customFormat="false" ht="15" hidden="false" customHeight="false" outlineLevel="0" collapsed="false">
      <c r="B4" s="9" t="s">
        <v>4</v>
      </c>
      <c r="C4" s="9" t="s">
        <v>5</v>
      </c>
      <c r="D4" s="9" t="s">
        <v>6</v>
      </c>
    </row>
    <row r="5" customFormat="false" ht="15" hidden="false" customHeight="false" outlineLevel="0" collapsed="false">
      <c r="A5" s="4" t="s">
        <v>7</v>
      </c>
      <c r="B5" s="15" t="n">
        <f aca="false">SUMIF(Monthly!$C$5:$AL$5,B$3,Monthly!$C$12:$AL$12)</f>
        <v>196650</v>
      </c>
      <c r="C5" s="15" t="n">
        <f aca="false">SUMIF(Monthly!$C$5:$AL$5,C$3,Monthly!$C$12:$AL$12)</f>
        <v>202549.5</v>
      </c>
      <c r="D5" s="15" t="n">
        <f aca="false">SUMIF(Monthly!$C$5:$AL$5,D$3,Monthly!$C$12:$AL$12)</f>
        <v>208625.985</v>
      </c>
    </row>
    <row r="6" customFormat="false" ht="15" hidden="false" customHeight="false" outlineLevel="0" collapsed="false">
      <c r="A6" s="11" t="s">
        <v>130</v>
      </c>
      <c r="B6" s="19" t="n">
        <f aca="false">SUMIF(Monthly!$C$5:$AL$5,B$3,Monthly!$C$17:$AL$17)</f>
        <v>-22428</v>
      </c>
      <c r="C6" s="19" t="n">
        <f aca="false">SUMIF(Monthly!$C$5:$AL$5,C$3,Monthly!$C$17:$AL$17)</f>
        <v>-23100.84</v>
      </c>
      <c r="D6" s="19" t="n">
        <f aca="false">SUMIF(Monthly!$C$5:$AL$5,D$3,Monthly!$C$17:$AL$17)</f>
        <v>-23793.8652</v>
      </c>
    </row>
    <row r="7" customFormat="false" ht="15" hidden="false" customHeight="false" outlineLevel="0" collapsed="false">
      <c r="A7" s="4" t="s">
        <v>8</v>
      </c>
      <c r="B7" s="32" t="n">
        <f aca="false">SUMIF(Monthly!$C$5:$AL$5,B$3,Monthly!$C$18:$AL$18)</f>
        <v>174222</v>
      </c>
      <c r="C7" s="32" t="n">
        <f aca="false">SUMIF(Monthly!$C$5:$AL$5,C$3,Monthly!$C$18:$AL$18)</f>
        <v>179448.66</v>
      </c>
      <c r="D7" s="32" t="n">
        <f aca="false">SUMIF(Monthly!$C$5:$AL$5,D$3,Monthly!$C$18:$AL$18)</f>
        <v>184832.1198</v>
      </c>
    </row>
    <row r="8" customFormat="false" ht="15" hidden="false" customHeight="false" outlineLevel="0" collapsed="false">
      <c r="A8" s="11" t="s">
        <v>187</v>
      </c>
      <c r="B8" s="20" t="n">
        <f aca="false">IF(B5=0,0,B7/B5)</f>
        <v>0.885949656750572</v>
      </c>
      <c r="C8" s="20" t="n">
        <f aca="false">IF(C5=0,0,C7/C5)</f>
        <v>0.885949656750572</v>
      </c>
      <c r="D8" s="20" t="n">
        <f aca="false">IF(D5=0,0,D7/D5)</f>
        <v>0.885949656750572</v>
      </c>
    </row>
    <row r="9" customFormat="false" ht="15" hidden="false" customHeight="false" outlineLevel="0" collapsed="false">
      <c r="A9" s="11" t="s">
        <v>134</v>
      </c>
      <c r="B9" s="19" t="n">
        <f aca="false">SUMIF(Monthly!$C$5:$AL$5,B$3,Monthly!$C$21:$AL$21)</f>
        <v>-20350</v>
      </c>
      <c r="C9" s="19" t="n">
        <f aca="false">SUMIF(Monthly!$C$5:$AL$5,C$3,Monthly!$C$21:$AL$21)</f>
        <v>-20960.5</v>
      </c>
      <c r="D9" s="19" t="n">
        <f aca="false">SUMIF(Monthly!$C$5:$AL$5,D$3,Monthly!$C$21:$AL$21)</f>
        <v>-21589.315</v>
      </c>
    </row>
    <row r="10" customFormat="false" ht="15" hidden="false" customHeight="false" outlineLevel="0" collapsed="false">
      <c r="A10" s="11" t="s">
        <v>135</v>
      </c>
      <c r="B10" s="19" t="n">
        <f aca="false">SUMIF(Monthly!$C$5:$AL$5,B$3,Monthly!$C$22:$AL$22)</f>
        <v>-8000</v>
      </c>
      <c r="C10" s="19" t="n">
        <f aca="false">SUMIF(Monthly!$C$5:$AL$5,C$3,Monthly!$C$22:$AL$22)</f>
        <v>-8240</v>
      </c>
      <c r="D10" s="19" t="n">
        <f aca="false">SUMIF(Monthly!$C$5:$AL$5,D$3,Monthly!$C$22:$AL$22)</f>
        <v>-8487.2</v>
      </c>
    </row>
    <row r="11" customFormat="false" ht="15" hidden="false" customHeight="false" outlineLevel="0" collapsed="false">
      <c r="A11" s="11" t="s">
        <v>136</v>
      </c>
      <c r="B11" s="19" t="n">
        <f aca="false">SUMIF(Monthly!$C$5:$AL$5,B$3,Monthly!$C$23:$AL$23)</f>
        <v>-15732</v>
      </c>
      <c r="C11" s="19" t="n">
        <f aca="false">SUMIF(Monthly!$C$5:$AL$5,C$3,Monthly!$C$23:$AL$23)</f>
        <v>-16203.96</v>
      </c>
      <c r="D11" s="19" t="n">
        <f aca="false">SUMIF(Monthly!$C$5:$AL$5,D$3,Monthly!$C$23:$AL$23)</f>
        <v>-16690.0788</v>
      </c>
    </row>
    <row r="12" customFormat="false" ht="15" hidden="false" customHeight="false" outlineLevel="0" collapsed="false">
      <c r="A12" s="11" t="s">
        <v>137</v>
      </c>
      <c r="B12" s="19" t="n">
        <f aca="false">SUMIF(Monthly!$C$5:$AL$5,B$3,Monthly!$C$24:$AL$24)</f>
        <v>-4800</v>
      </c>
      <c r="C12" s="19" t="n">
        <f aca="false">SUMIF(Monthly!$C$5:$AL$5,C$3,Monthly!$C$24:$AL$24)</f>
        <v>-4944</v>
      </c>
      <c r="D12" s="19" t="n">
        <f aca="false">SUMIF(Monthly!$C$5:$AL$5,D$3,Monthly!$C$24:$AL$24)</f>
        <v>-5092.32</v>
      </c>
    </row>
    <row r="13" customFormat="false" ht="15" hidden="false" customHeight="false" outlineLevel="0" collapsed="false">
      <c r="A13" s="4" t="s">
        <v>138</v>
      </c>
      <c r="B13" s="32" t="n">
        <f aca="false">SUMIF(Monthly!$C$5:$AL$5,B$3,Monthly!$C$25:$AL$25)</f>
        <v>-48882</v>
      </c>
      <c r="C13" s="32" t="n">
        <f aca="false">SUMIF(Monthly!$C$5:$AL$5,C$3,Monthly!$C$25:$AL$25)</f>
        <v>-50348.46</v>
      </c>
      <c r="D13" s="32" t="n">
        <f aca="false">SUMIF(Monthly!$C$5:$AL$5,D$3,Monthly!$C$25:$AL$25)</f>
        <v>-51858.9138</v>
      </c>
    </row>
    <row r="14" customFormat="false" ht="15" hidden="false" customHeight="false" outlineLevel="0" collapsed="false">
      <c r="A14" s="4" t="s">
        <v>9</v>
      </c>
      <c r="B14" s="32" t="n">
        <f aca="false">SUMIF(Monthly!$C$5:$AL$5,B$3,Monthly!$C$26:$AL$26)</f>
        <v>125340</v>
      </c>
      <c r="C14" s="32" t="n">
        <f aca="false">SUMIF(Monthly!$C$5:$AL$5,C$3,Monthly!$C$26:$AL$26)</f>
        <v>129100.2</v>
      </c>
      <c r="D14" s="32" t="n">
        <f aca="false">SUMIF(Monthly!$C$5:$AL$5,D$3,Monthly!$C$26:$AL$26)</f>
        <v>132973.206</v>
      </c>
    </row>
    <row r="15" customFormat="false" ht="15" hidden="false" customHeight="false" outlineLevel="0" collapsed="false">
      <c r="A15" s="11" t="s">
        <v>10</v>
      </c>
      <c r="B15" s="20" t="n">
        <f aca="false">IF(B5=0,0,B14/B5)</f>
        <v>0.637376048817696</v>
      </c>
      <c r="C15" s="20" t="n">
        <f aca="false">IF(C5=0,0,C14/C5)</f>
        <v>0.637376048817697</v>
      </c>
      <c r="D15" s="20" t="n">
        <f aca="false">IF(D5=0,0,D14/D5)</f>
        <v>0.637376048817697</v>
      </c>
    </row>
    <row r="16" customFormat="false" ht="15" hidden="false" customHeight="false" outlineLevel="0" collapsed="false">
      <c r="A16" s="11" t="s">
        <v>153</v>
      </c>
      <c r="B16" s="19" t="n">
        <f aca="false">SUMIF(Monthly!$C$5:$AL$5,B$3,Monthly!$C$44:$AL$44)</f>
        <v>-56940.5864197531</v>
      </c>
      <c r="C16" s="19" t="n">
        <f aca="false">SUMIF(Monthly!$C$5:$AL$5,C$3,Monthly!$C$44:$AL$44)</f>
        <v>-57072.3225308643</v>
      </c>
      <c r="D16" s="19" t="n">
        <f aca="false">SUMIF(Monthly!$C$5:$AL$5,D$3,Monthly!$C$44:$AL$44)</f>
        <v>-57208.0107253087</v>
      </c>
    </row>
    <row r="17" customFormat="false" ht="15" hidden="false" customHeight="false" outlineLevel="0" collapsed="false">
      <c r="A17" s="4" t="s">
        <v>140</v>
      </c>
      <c r="B17" s="15" t="n">
        <f aca="false">SUMIF(Monthly!$C$5:$AL$5,B$3,Monthly!$C$29:$AL$29)</f>
        <v>68399.4135802469</v>
      </c>
      <c r="C17" s="15" t="n">
        <f aca="false">SUMIF(Monthly!$C$5:$AL$5,C$3,Monthly!$C$29:$AL$29)</f>
        <v>72027.8774691358</v>
      </c>
      <c r="D17" s="15" t="n">
        <f aca="false">SUMIF(Monthly!$C$5:$AL$5,D$3,Monthly!$C$29:$AL$29)</f>
        <v>75765.1952746913</v>
      </c>
    </row>
    <row r="18" customFormat="false" ht="15" hidden="false" customHeight="false" outlineLevel="0" collapsed="false">
      <c r="A18" s="11" t="s">
        <v>188</v>
      </c>
      <c r="B18" s="19" t="n">
        <f aca="false">SUMIF(Monthly!$C$5:$AL$5,B$3,Monthly!$C$30:$AL$30)</f>
        <v>-77605.089755467</v>
      </c>
      <c r="C18" s="19" t="n">
        <f aca="false">SUMIF(Monthly!$C$5:$AL$5,C$3,Monthly!$C$30:$AL$30)</f>
        <v>-76706.816019227</v>
      </c>
      <c r="D18" s="19" t="n">
        <f aca="false">SUMIF(Monthly!$C$5:$AL$5,D$3,Monthly!$C$30:$AL$30)</f>
        <v>-75748.3832272659</v>
      </c>
    </row>
    <row r="19" customFormat="false" ht="15" hidden="false" customHeight="false" outlineLevel="0" collapsed="false">
      <c r="A19" s="11" t="s">
        <v>142</v>
      </c>
      <c r="B19" s="34" t="n">
        <f aca="false">SUMIF(Monthly!$C$5:$AL$5,B$3,Monthly!$C$31:$AL$31)</f>
        <v>-9205.67617522005</v>
      </c>
      <c r="C19" s="34" t="n">
        <f aca="false">SUMIF(Monthly!$C$5:$AL$5,C$3,Monthly!$C$31:$AL$31)</f>
        <v>-4678.93855009125</v>
      </c>
      <c r="D19" s="34" t="n">
        <f aca="false">SUMIF(Monthly!$C$5:$AL$5,D$3,Monthly!$C$31:$AL$31)</f>
        <v>16.8120474254474</v>
      </c>
    </row>
    <row r="20" customFormat="false" ht="15" hidden="false" customHeight="false" outlineLevel="0" collapsed="false">
      <c r="A20" s="11" t="s">
        <v>145</v>
      </c>
      <c r="B20" s="19" t="n">
        <f aca="false">SUMIF(Monthly!$C$5:$AL$5,B$3,Monthly!$C$34:$AL$34)</f>
        <v>0</v>
      </c>
      <c r="C20" s="19" t="n">
        <f aca="false">SUMIF(Monthly!$C$5:$AL$5,C$3,Monthly!$C$34:$AL$34)</f>
        <v>0</v>
      </c>
      <c r="D20" s="19" t="n">
        <f aca="false">SUMIF(Monthly!$C$5:$AL$5,D$3,Monthly!$C$34:$AL$34)</f>
        <v>0</v>
      </c>
    </row>
    <row r="21" customFormat="false" ht="15" hidden="false" customHeight="false" outlineLevel="0" collapsed="false">
      <c r="A21" s="4" t="s">
        <v>11</v>
      </c>
      <c r="B21" s="32" t="n">
        <f aca="false">SUMIF(Monthly!$C$5:$AL$5,B$3,Monthly!$C$35:$AL$35)</f>
        <v>-9205.67617522005</v>
      </c>
      <c r="C21" s="32" t="n">
        <f aca="false">SUMIF(Monthly!$C$5:$AL$5,C$3,Monthly!$C$35:$AL$35)</f>
        <v>-4678.93855009125</v>
      </c>
      <c r="D21" s="32" t="n">
        <f aca="false">SUMIF(Monthly!$C$5:$AL$5,D$3,Monthly!$C$35:$AL$35)</f>
        <v>16.8120474254474</v>
      </c>
    </row>
    <row r="22" customFormat="false" ht="15" hidden="false" customHeight="false" outlineLevel="0" collapsed="false">
      <c r="A22" s="11" t="s">
        <v>189</v>
      </c>
      <c r="B22" s="20" t="n">
        <f aca="false">IF(B5=0,0,B21/B5)</f>
        <v>-0.0468124900850244</v>
      </c>
      <c r="C22" s="20" t="n">
        <f aca="false">IF(C5=0,0,C21/C5)</f>
        <v>-0.0231002226620715</v>
      </c>
      <c r="D22" s="20" t="n">
        <f aca="false">IF(D5=0,0,D21/D5)</f>
        <v>8.05846281586036E-005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4"/>
  </cols>
  <sheetData>
    <row r="1" customFormat="false" ht="24" hidden="false" customHeight="true" outlineLevel="0" collapsed="false">
      <c r="A1" s="1" t="s">
        <v>190</v>
      </c>
      <c r="B1" s="2"/>
      <c r="C1" s="2"/>
      <c r="D1" s="2"/>
    </row>
    <row r="2" customFormat="false" ht="15" hidden="false" customHeight="false" outlineLevel="0" collapsed="false">
      <c r="A2" s="3" t="s">
        <v>186</v>
      </c>
    </row>
    <row r="3" customFormat="false" ht="15" hidden="false" customHeight="false" outlineLevel="0" collapsed="false">
      <c r="A3" s="17" t="s">
        <v>21</v>
      </c>
      <c r="B3" s="17" t="n">
        <v>1</v>
      </c>
      <c r="C3" s="17" t="n">
        <v>2</v>
      </c>
      <c r="D3" s="17" t="n">
        <v>3</v>
      </c>
    </row>
    <row r="4" customFormat="false" ht="15" hidden="false" customHeight="false" outlineLevel="0" collapsed="false">
      <c r="B4" s="9" t="s">
        <v>4</v>
      </c>
      <c r="C4" s="9" t="s">
        <v>5</v>
      </c>
      <c r="D4" s="9" t="s">
        <v>6</v>
      </c>
    </row>
    <row r="5" customFormat="false" ht="15" hidden="false" customHeight="false" outlineLevel="0" collapsed="false">
      <c r="A5" s="11" t="s">
        <v>11</v>
      </c>
      <c r="B5" s="19" t="n">
        <f aca="false">SUMIF(Monthly!$C$5:$AL$5,B$3,Monthly!$C$35:$AL$35)</f>
        <v>-9205.67617522005</v>
      </c>
      <c r="C5" s="19" t="n">
        <f aca="false">SUMIF(Monthly!$C$5:$AL$5,C$3,Monthly!$C$35:$AL$35)</f>
        <v>-4678.93855009125</v>
      </c>
      <c r="D5" s="19" t="n">
        <f aca="false">SUMIF(Monthly!$C$5:$AL$5,D$3,Monthly!$C$35:$AL$35)</f>
        <v>16.8120474254474</v>
      </c>
    </row>
    <row r="6" customFormat="false" ht="15" hidden="false" customHeight="false" outlineLevel="0" collapsed="false">
      <c r="A6" s="11" t="s">
        <v>191</v>
      </c>
      <c r="B6" s="19" t="n">
        <f aca="false">-SUMIF(Monthly!$C$5:$AL$5,B$3,Monthly!$C$44:$AL$44)</f>
        <v>56940.5864197531</v>
      </c>
      <c r="C6" s="19" t="n">
        <f aca="false">-SUMIF(Monthly!$C$5:$AL$5,C$3,Monthly!$C$44:$AL$44)</f>
        <v>57072.3225308643</v>
      </c>
      <c r="D6" s="19" t="n">
        <f aca="false">-SUMIF(Monthly!$C$5:$AL$5,D$3,Monthly!$C$44:$AL$44)</f>
        <v>57208.0107253087</v>
      </c>
    </row>
    <row r="7" customFormat="false" ht="15" hidden="false" customHeight="false" outlineLevel="0" collapsed="false">
      <c r="A7" s="11" t="s">
        <v>165</v>
      </c>
      <c r="B7" s="19" t="n">
        <f aca="false">SUMIF(Monthly!$C$5:$AL$5,B$3,Monthly!$C$60:$AL$60)</f>
        <v>0</v>
      </c>
      <c r="C7" s="19" t="n">
        <f aca="false">SUMIF(Monthly!$C$5:$AL$5,C$3,Monthly!$C$60:$AL$60)</f>
        <v>0</v>
      </c>
      <c r="D7" s="19" t="n">
        <f aca="false">SUMIF(Monthly!$C$5:$AL$5,D$3,Monthly!$C$60:$AL$60)</f>
        <v>0</v>
      </c>
    </row>
    <row r="8" customFormat="false" ht="15" hidden="false" customHeight="false" outlineLevel="0" collapsed="false">
      <c r="A8" s="11" t="s">
        <v>166</v>
      </c>
      <c r="B8" s="19" t="n">
        <f aca="false">SUMIF(Monthly!$C$5:$AL$5,B$3,Monthly!$C$61:$AL$61)</f>
        <v>0</v>
      </c>
      <c r="C8" s="19" t="n">
        <f aca="false">SUMIF(Monthly!$C$5:$AL$5,C$3,Monthly!$C$61:$AL$61)</f>
        <v>0</v>
      </c>
      <c r="D8" s="19" t="n">
        <f aca="false">SUMIF(Monthly!$C$5:$AL$5,D$3,Monthly!$C$61:$AL$61)</f>
        <v>0</v>
      </c>
    </row>
    <row r="9" customFormat="false" ht="15" hidden="false" customHeight="false" outlineLevel="0" collapsed="false">
      <c r="A9" s="11" t="s">
        <v>167</v>
      </c>
      <c r="B9" s="19" t="n">
        <f aca="false">SUMIF(Monthly!$C$5:$AL$5,B$3,Monthly!$C$62:$AL$62)</f>
        <v>934.5</v>
      </c>
      <c r="C9" s="19" t="n">
        <f aca="false">SUMIF(Monthly!$C$5:$AL$5,C$3,Monthly!$C$62:$AL$62)</f>
        <v>28.035</v>
      </c>
      <c r="D9" s="19" t="n">
        <f aca="false">SUMIF(Monthly!$C$5:$AL$5,D$3,Monthly!$C$62:$AL$62)</f>
        <v>28.87605</v>
      </c>
    </row>
    <row r="10" customFormat="false" ht="15" hidden="false" customHeight="false" outlineLevel="0" collapsed="false">
      <c r="A10" s="4" t="s">
        <v>169</v>
      </c>
      <c r="B10" s="32" t="n">
        <f aca="false">SUMIF(Monthly!$C$5:$AL$5,B$3,Monthly!$C$65:$AL$65)</f>
        <v>48669.4102445331</v>
      </c>
      <c r="C10" s="32" t="n">
        <f aca="false">SUMIF(Monthly!$C$5:$AL$5,C$3,Monthly!$C$65:$AL$65)</f>
        <v>52421.418980773</v>
      </c>
      <c r="D10" s="32" t="n">
        <f aca="false">SUMIF(Monthly!$C$5:$AL$5,D$3,Monthly!$C$65:$AL$65)</f>
        <v>57253.6988227342</v>
      </c>
    </row>
    <row r="11" customFormat="false" ht="15" hidden="false" customHeight="false" outlineLevel="0" collapsed="false">
      <c r="A11" s="11" t="s">
        <v>150</v>
      </c>
      <c r="B11" s="19" t="n">
        <f aca="false">SUMIF(Monthly!$C$5:$AL$5,B$3,Monthly!$C$66:$AL$66)</f>
        <v>-1909000</v>
      </c>
      <c r="C11" s="19" t="n">
        <f aca="false">SUMIF(Monthly!$C$5:$AL$5,C$3,Monthly!$C$66:$AL$66)</f>
        <v>-3605</v>
      </c>
      <c r="D11" s="19" t="n">
        <f aca="false">SUMIF(Monthly!$C$5:$AL$5,D$3,Monthly!$C$66:$AL$66)</f>
        <v>-3713.15</v>
      </c>
    </row>
    <row r="12" customFormat="false" ht="15" hidden="false" customHeight="false" outlineLevel="0" collapsed="false">
      <c r="A12" s="11" t="s">
        <v>171</v>
      </c>
      <c r="B12" s="19" t="n">
        <f aca="false">SUMIF(Monthly!$C$5:$AL$5,B$3,Monthly!$C$67:$AL$67)</f>
        <v>760000</v>
      </c>
      <c r="C12" s="19" t="n">
        <f aca="false">SUMIF(Monthly!$C$5:$AL$5,C$3,Monthly!$C$67:$AL$67)</f>
        <v>0</v>
      </c>
      <c r="D12" s="19" t="n">
        <f aca="false">SUMIF(Monthly!$C$5:$AL$5,D$3,Monthly!$C$67:$AL$67)</f>
        <v>0</v>
      </c>
    </row>
    <row r="13" customFormat="false" ht="15" hidden="false" customHeight="false" outlineLevel="0" collapsed="false">
      <c r="A13" s="11" t="s">
        <v>158</v>
      </c>
      <c r="B13" s="19" t="n">
        <f aca="false">SUMIF(Monthly!$C$5:$AL$5,B$3,Monthly!$C$50:$AL$50)</f>
        <v>1200000</v>
      </c>
      <c r="C13" s="19" t="n">
        <f aca="false">SUMIF(Monthly!$C$5:$AL$5,C$3,Monthly!$C$50:$AL$50)</f>
        <v>0</v>
      </c>
      <c r="D13" s="19" t="n">
        <f aca="false">SUMIF(Monthly!$C$5:$AL$5,D$3,Monthly!$C$50:$AL$50)</f>
        <v>0</v>
      </c>
    </row>
    <row r="14" customFormat="false" ht="15" hidden="false" customHeight="false" outlineLevel="0" collapsed="false">
      <c r="A14" s="11" t="s">
        <v>192</v>
      </c>
      <c r="B14" s="19" t="n">
        <f aca="false">SUMIF(Monthly!$C$5:$AL$5,B$3,Monthly!$C$52:$AL$52)</f>
        <v>-13412.7056275198</v>
      </c>
      <c r="C14" s="19" t="n">
        <f aca="false">SUMIF(Monthly!$C$5:$AL$5,C$3,Monthly!$C$52:$AL$52)</f>
        <v>-14310.9793637598</v>
      </c>
      <c r="D14" s="19" t="n">
        <f aca="false">SUMIF(Monthly!$C$5:$AL$5,D$3,Monthly!$C$52:$AL$52)</f>
        <v>-15269.4121557209</v>
      </c>
    </row>
    <row r="15" customFormat="false" ht="15" hidden="false" customHeight="false" outlineLevel="0" collapsed="false">
      <c r="A15" s="4" t="s">
        <v>172</v>
      </c>
      <c r="B15" s="32" t="n">
        <f aca="false">SUMIF(Monthly!$C$5:$AL$5,B$3,Monthly!$C$68:$AL$68)</f>
        <v>1946587.29437248</v>
      </c>
      <c r="C15" s="32" t="n">
        <f aca="false">SUMIF(Monthly!$C$5:$AL$5,C$3,Monthly!$C$68:$AL$68)</f>
        <v>-14310.9793637598</v>
      </c>
      <c r="D15" s="32" t="n">
        <f aca="false">SUMIF(Monthly!$C$5:$AL$5,D$3,Monthly!$C$68:$AL$68)</f>
        <v>-15269.4121557209</v>
      </c>
    </row>
    <row r="16" customFormat="false" ht="15" hidden="false" customHeight="false" outlineLevel="0" collapsed="false">
      <c r="A16" s="4" t="s">
        <v>193</v>
      </c>
      <c r="B16" s="15" t="n">
        <f aca="false">SUMIF(Monthly!$C$5:$AL$5,B$3,Monthly!$C$69:$AL$69)</f>
        <v>86256.7046170131</v>
      </c>
      <c r="C16" s="15" t="n">
        <f aca="false">SUMIF(Monthly!$C$5:$AL$5,C$3,Monthly!$C$69:$AL$69)</f>
        <v>34505.4396170132</v>
      </c>
      <c r="D16" s="15" t="n">
        <f aca="false">SUMIF(Monthly!$C$5:$AL$5,D$3,Monthly!$C$69:$AL$69)</f>
        <v>38271.1366670132</v>
      </c>
    </row>
    <row r="17" customFormat="false" ht="15" hidden="false" customHeight="false" outlineLevel="0" collapsed="false">
      <c r="A17" s="11" t="s">
        <v>174</v>
      </c>
      <c r="B17" s="19" t="n">
        <f aca="false">INDEX(Monthly!$C$70:$AL$70,(B$3-1)*12+1)</f>
        <v>0</v>
      </c>
      <c r="C17" s="19" t="n">
        <f aca="false">INDEX(Monthly!$C$70:$AL$70,(C$3-1)*12+1)</f>
        <v>86256.7046170131</v>
      </c>
      <c r="D17" s="19" t="n">
        <f aca="false">INDEX(Monthly!$C$70:$AL$70,(D$3-1)*12+1)</f>
        <v>120762.144234026</v>
      </c>
    </row>
    <row r="18" customFormat="false" ht="15" hidden="false" customHeight="false" outlineLevel="0" collapsed="false">
      <c r="A18" s="4" t="s">
        <v>175</v>
      </c>
      <c r="B18" s="32" t="n">
        <f aca="false">INDEX(Monthly!$C$71:$AL$71,B$3*12)</f>
        <v>86256.7046170131</v>
      </c>
      <c r="C18" s="32" t="n">
        <f aca="false">INDEX(Monthly!$C$71:$AL$71,C$3*12)</f>
        <v>120762.144234026</v>
      </c>
      <c r="D18" s="32" t="n">
        <f aca="false">INDEX(Monthly!$C$71:$AL$71,D$3*12)</f>
        <v>159033.28090104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4"/>
  </cols>
  <sheetData>
    <row r="1" customFormat="false" ht="24" hidden="false" customHeight="true" outlineLevel="0" collapsed="false">
      <c r="A1" s="1" t="s">
        <v>194</v>
      </c>
      <c r="B1" s="2"/>
      <c r="C1" s="2"/>
      <c r="D1" s="2"/>
    </row>
    <row r="2" customFormat="false" ht="15" hidden="false" customHeight="false" outlineLevel="0" collapsed="false">
      <c r="A2" s="3" t="s">
        <v>186</v>
      </c>
    </row>
    <row r="3" customFormat="false" ht="15" hidden="false" customHeight="false" outlineLevel="0" collapsed="false">
      <c r="A3" s="17" t="s">
        <v>21</v>
      </c>
      <c r="B3" s="17" t="n">
        <v>1</v>
      </c>
      <c r="C3" s="17" t="n">
        <v>2</v>
      </c>
      <c r="D3" s="17" t="n">
        <v>3</v>
      </c>
    </row>
    <row r="4" customFormat="false" ht="15" hidden="false" customHeight="false" outlineLevel="0" collapsed="false">
      <c r="B4" s="9" t="s">
        <v>4</v>
      </c>
      <c r="C4" s="9" t="s">
        <v>5</v>
      </c>
      <c r="D4" s="9" t="s">
        <v>6</v>
      </c>
    </row>
    <row r="5" customFormat="false" ht="15" hidden="false" customHeight="false" outlineLevel="0" collapsed="false">
      <c r="A5" s="11" t="s">
        <v>195</v>
      </c>
      <c r="B5" s="19" t="n">
        <f aca="false">INDEX(Monthly!$C$71:$AL$71,B$3*12)</f>
        <v>86256.7046170131</v>
      </c>
      <c r="C5" s="19" t="n">
        <f aca="false">INDEX(Monthly!$C$71:$AL$71,C$3*12)</f>
        <v>120762.144234026</v>
      </c>
      <c r="D5" s="19" t="n">
        <f aca="false">INDEX(Monthly!$C$71:$AL$71,D$3*12)</f>
        <v>159033.28090104</v>
      </c>
    </row>
    <row r="6" customFormat="false" ht="15" hidden="false" customHeight="false" outlineLevel="0" collapsed="false">
      <c r="A6" s="11" t="s">
        <v>162</v>
      </c>
      <c r="B6" s="19" t="n">
        <f aca="false">INDEX(Monthly!$C$57:$AL$57,B$3*12)</f>
        <v>0</v>
      </c>
      <c r="C6" s="19" t="n">
        <f aca="false">INDEX(Monthly!$C$57:$AL$57,C$3*12)</f>
        <v>0</v>
      </c>
      <c r="D6" s="19" t="n">
        <f aca="false">INDEX(Monthly!$C$57:$AL$57,D$3*12)</f>
        <v>0</v>
      </c>
    </row>
    <row r="7" customFormat="false" ht="15" hidden="false" customHeight="false" outlineLevel="0" collapsed="false">
      <c r="A7" s="11" t="s">
        <v>163</v>
      </c>
      <c r="B7" s="19" t="n">
        <f aca="false">INDEX(Monthly!$C$58:$AL$58,B$3*12)</f>
        <v>0</v>
      </c>
      <c r="C7" s="19" t="n">
        <f aca="false">INDEX(Monthly!$C$58:$AL$58,C$3*12)</f>
        <v>0</v>
      </c>
      <c r="D7" s="19" t="n">
        <f aca="false">INDEX(Monthly!$C$58:$AL$58,D$3*12)</f>
        <v>0</v>
      </c>
    </row>
    <row r="8" customFormat="false" ht="15" hidden="false" customHeight="false" outlineLevel="0" collapsed="false">
      <c r="A8" s="11" t="s">
        <v>155</v>
      </c>
      <c r="B8" s="19" t="n">
        <f aca="false">INDEX(Monthly!$C$46:$AL$46,B$3*12)</f>
        <v>1852059.41358025</v>
      </c>
      <c r="C8" s="19" t="n">
        <f aca="false">INDEX(Monthly!$C$46:$AL$46,C$3*12)</f>
        <v>1798592.09104938</v>
      </c>
      <c r="D8" s="19" t="n">
        <f aca="false">INDEX(Monthly!$C$46:$AL$46,D$3*12)</f>
        <v>1745097.23032408</v>
      </c>
    </row>
    <row r="9" customFormat="false" ht="15" hidden="false" customHeight="false" outlineLevel="0" collapsed="false">
      <c r="A9" s="4" t="s">
        <v>180</v>
      </c>
      <c r="B9" s="32" t="n">
        <f aca="false">INDEX(Monthly!$C$77:$AL$77,B$3*12)</f>
        <v>1938316.11819726</v>
      </c>
      <c r="C9" s="32" t="n">
        <f aca="false">INDEX(Monthly!$C$77:$AL$77,C$3*12)</f>
        <v>1919354.23528341</v>
      </c>
      <c r="D9" s="32" t="n">
        <f aca="false">INDEX(Monthly!$C$77:$AL$77,D$3*12)</f>
        <v>1904130.51122512</v>
      </c>
    </row>
    <row r="10" customFormat="false" ht="15" hidden="false" customHeight="false" outlineLevel="0" collapsed="false">
      <c r="A10" s="11" t="s">
        <v>164</v>
      </c>
      <c r="B10" s="19" t="n">
        <f aca="false">INDEX(Monthly!$C$59:$AL$59,B$3*12)</f>
        <v>934.5</v>
      </c>
      <c r="C10" s="19" t="n">
        <f aca="false">INDEX(Monthly!$C$59:$AL$59,C$3*12)</f>
        <v>962.535</v>
      </c>
      <c r="D10" s="19" t="n">
        <f aca="false">INDEX(Monthly!$C$59:$AL$59,D$3*12)</f>
        <v>991.41105</v>
      </c>
    </row>
    <row r="11" customFormat="false" ht="15" hidden="false" customHeight="false" outlineLevel="0" collapsed="false">
      <c r="A11" s="11" t="s">
        <v>196</v>
      </c>
      <c r="B11" s="19" t="n">
        <f aca="false">INDEX(Monthly!$C$54:$AL$54,B$3*12)</f>
        <v>1186587.29437248</v>
      </c>
      <c r="C11" s="19" t="n">
        <f aca="false">INDEX(Monthly!$C$54:$AL$54,C$3*12)</f>
        <v>1172276.31500872</v>
      </c>
      <c r="D11" s="19" t="n">
        <f aca="false">INDEX(Monthly!$C$54:$AL$54,D$3*12)</f>
        <v>1157006.902853</v>
      </c>
    </row>
    <row r="12" customFormat="false" ht="15" hidden="false" customHeight="false" outlineLevel="0" collapsed="false">
      <c r="A12" s="11" t="s">
        <v>181</v>
      </c>
      <c r="B12" s="34" t="n">
        <f aca="false">INDEX(Monthly!$C$78:$AL$78,B$3*12)</f>
        <v>1187521.79437248</v>
      </c>
      <c r="C12" s="34" t="n">
        <f aca="false">INDEX(Monthly!$C$78:$AL$78,C$3*12)</f>
        <v>1173238.85000872</v>
      </c>
      <c r="D12" s="34" t="n">
        <f aca="false">INDEX(Monthly!$C$78:$AL$78,D$3*12)</f>
        <v>1157998.313903</v>
      </c>
    </row>
    <row r="13" customFormat="false" ht="15" hidden="false" customHeight="false" outlineLevel="0" collapsed="false">
      <c r="A13" s="11" t="s">
        <v>178</v>
      </c>
      <c r="B13" s="19" t="n">
        <f aca="false">INDEX(Monthly!$C$75:$AL$75,B$3*12)</f>
        <v>760000</v>
      </c>
      <c r="C13" s="19" t="n">
        <f aca="false">INDEX(Monthly!$C$75:$AL$75,C$3*12)</f>
        <v>760000</v>
      </c>
      <c r="D13" s="19" t="n">
        <f aca="false">INDEX(Monthly!$C$75:$AL$75,D$3*12)</f>
        <v>760000</v>
      </c>
    </row>
    <row r="14" customFormat="false" ht="15" hidden="false" customHeight="false" outlineLevel="0" collapsed="false">
      <c r="A14" s="11" t="s">
        <v>179</v>
      </c>
      <c r="B14" s="19" t="n">
        <f aca="false">INDEX(Monthly!$C$76:$AL$76,B$3*12)</f>
        <v>-9205.67617522005</v>
      </c>
      <c r="C14" s="19" t="n">
        <f aca="false">INDEX(Monthly!$C$76:$AL$76,C$3*12)</f>
        <v>-13884.6147253113</v>
      </c>
      <c r="D14" s="19" t="n">
        <f aca="false">INDEX(Monthly!$C$76:$AL$76,D$3*12)</f>
        <v>-13867.8026778858</v>
      </c>
    </row>
    <row r="15" customFormat="false" ht="15" hidden="false" customHeight="false" outlineLevel="0" collapsed="false">
      <c r="A15" s="11" t="s">
        <v>182</v>
      </c>
      <c r="B15" s="34" t="n">
        <f aca="false">INDEX(Monthly!$C$79:$AL$79,B$3*12)</f>
        <v>750794.32382478</v>
      </c>
      <c r="C15" s="34" t="n">
        <f aca="false">INDEX(Monthly!$C$79:$AL$79,C$3*12)</f>
        <v>746115.385274689</v>
      </c>
      <c r="D15" s="34" t="n">
        <f aca="false">INDEX(Monthly!$C$79:$AL$79,D$3*12)</f>
        <v>746132.197322114</v>
      </c>
    </row>
    <row r="16" customFormat="false" ht="15" hidden="false" customHeight="false" outlineLevel="0" collapsed="false">
      <c r="A16" s="4" t="s">
        <v>183</v>
      </c>
      <c r="B16" s="32" t="n">
        <f aca="false">INDEX(Monthly!$C$80:$AL$80,B$3*12)</f>
        <v>1938316.11819726</v>
      </c>
      <c r="C16" s="32" t="n">
        <f aca="false">INDEX(Monthly!$C$80:$AL$80,C$3*12)</f>
        <v>1919354.23528341</v>
      </c>
      <c r="D16" s="32" t="n">
        <f aca="false">INDEX(Monthly!$C$80:$AL$80,D$3*12)</f>
        <v>1904130.51122511</v>
      </c>
    </row>
    <row r="17" customFormat="false" ht="15" hidden="false" customHeight="false" outlineLevel="0" collapsed="false">
      <c r="A17" s="11" t="s">
        <v>197</v>
      </c>
      <c r="B17" s="19" t="n">
        <f aca="false">INDEX(Monthly!$C$81:$AL$81,B$3*12)</f>
        <v>0</v>
      </c>
      <c r="C17" s="19" t="n">
        <f aca="false">INDEX(Monthly!$C$81:$AL$81,C$3*12)</f>
        <v>0</v>
      </c>
      <c r="D17" s="19" t="n">
        <f aca="false">INDEX(Monthly!$C$81:$AL$81,D$3*12)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"/>
    <col collapsed="false" customWidth="true" hidden="false" outlineLevel="0" max="38" min="3" style="0" width="11"/>
  </cols>
  <sheetData>
    <row r="1" customFormat="false" ht="24" hidden="false" customHeight="true" outlineLevel="0" collapsed="false">
      <c r="A1" s="1" t="s">
        <v>198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5" hidden="false" customHeight="false" outlineLevel="0" collapsed="false">
      <c r="A2" s="3" t="s">
        <v>89</v>
      </c>
    </row>
    <row r="3" customFormat="false" ht="15" hidden="false" customHeight="false" outlineLevel="0" collapsed="false">
      <c r="A3" s="4" t="s">
        <v>90</v>
      </c>
      <c r="C3" s="9" t="s">
        <v>91</v>
      </c>
      <c r="D3" s="9" t="s">
        <v>92</v>
      </c>
      <c r="E3" s="9" t="s">
        <v>93</v>
      </c>
      <c r="F3" s="9" t="s">
        <v>94</v>
      </c>
      <c r="G3" s="9" t="s">
        <v>95</v>
      </c>
      <c r="H3" s="9" t="s">
        <v>96</v>
      </c>
      <c r="I3" s="9" t="s">
        <v>97</v>
      </c>
      <c r="J3" s="9" t="s">
        <v>98</v>
      </c>
      <c r="K3" s="9" t="s">
        <v>99</v>
      </c>
      <c r="L3" s="9" t="s">
        <v>100</v>
      </c>
      <c r="M3" s="9" t="s">
        <v>101</v>
      </c>
      <c r="N3" s="9" t="s">
        <v>102</v>
      </c>
      <c r="O3" s="9" t="s">
        <v>103</v>
      </c>
      <c r="P3" s="9" t="s">
        <v>104</v>
      </c>
      <c r="Q3" s="9" t="s">
        <v>105</v>
      </c>
      <c r="R3" s="9" t="s">
        <v>106</v>
      </c>
      <c r="S3" s="9" t="s">
        <v>107</v>
      </c>
      <c r="T3" s="9" t="s">
        <v>108</v>
      </c>
      <c r="U3" s="9" t="s">
        <v>109</v>
      </c>
      <c r="V3" s="9" t="s">
        <v>110</v>
      </c>
      <c r="W3" s="9" t="s">
        <v>111</v>
      </c>
      <c r="X3" s="9" t="s">
        <v>112</v>
      </c>
      <c r="Y3" s="9" t="s">
        <v>113</v>
      </c>
      <c r="Z3" s="9" t="s">
        <v>114</v>
      </c>
      <c r="AA3" s="9" t="s">
        <v>115</v>
      </c>
      <c r="AB3" s="9" t="s">
        <v>116</v>
      </c>
      <c r="AC3" s="9" t="s">
        <v>117</v>
      </c>
      <c r="AD3" s="9" t="s">
        <v>118</v>
      </c>
      <c r="AE3" s="9" t="s">
        <v>119</v>
      </c>
      <c r="AF3" s="9" t="s">
        <v>120</v>
      </c>
      <c r="AG3" s="9" t="s">
        <v>121</v>
      </c>
      <c r="AH3" s="9" t="s">
        <v>122</v>
      </c>
      <c r="AI3" s="9" t="s">
        <v>123</v>
      </c>
      <c r="AJ3" s="9" t="s">
        <v>124</v>
      </c>
      <c r="AK3" s="9" t="s">
        <v>125</v>
      </c>
      <c r="AL3" s="9" t="s">
        <v>126</v>
      </c>
    </row>
    <row r="4" customFormat="false" ht="15" hidden="false" customHeight="false" outlineLevel="0" collapsed="false">
      <c r="A4" s="17" t="s">
        <v>127</v>
      </c>
      <c r="C4" s="31" t="n">
        <v>1</v>
      </c>
      <c r="D4" s="31" t="n">
        <v>2</v>
      </c>
      <c r="E4" s="31" t="n">
        <v>3</v>
      </c>
      <c r="F4" s="31" t="n">
        <v>4</v>
      </c>
      <c r="G4" s="31" t="n">
        <v>5</v>
      </c>
      <c r="H4" s="31" t="n">
        <v>6</v>
      </c>
      <c r="I4" s="31" t="n">
        <v>7</v>
      </c>
      <c r="J4" s="31" t="n">
        <v>8</v>
      </c>
      <c r="K4" s="31" t="n">
        <v>9</v>
      </c>
      <c r="L4" s="31" t="n">
        <v>10</v>
      </c>
      <c r="M4" s="31" t="n">
        <v>11</v>
      </c>
      <c r="N4" s="31" t="n">
        <v>12</v>
      </c>
      <c r="O4" s="31" t="n">
        <v>13</v>
      </c>
      <c r="P4" s="31" t="n">
        <v>14</v>
      </c>
      <c r="Q4" s="31" t="n">
        <v>15</v>
      </c>
      <c r="R4" s="31" t="n">
        <v>16</v>
      </c>
      <c r="S4" s="31" t="n">
        <v>17</v>
      </c>
      <c r="T4" s="31" t="n">
        <v>18</v>
      </c>
      <c r="U4" s="31" t="n">
        <v>19</v>
      </c>
      <c r="V4" s="31" t="n">
        <v>20</v>
      </c>
      <c r="W4" s="31" t="n">
        <v>21</v>
      </c>
      <c r="X4" s="31" t="n">
        <v>22</v>
      </c>
      <c r="Y4" s="31" t="n">
        <v>23</v>
      </c>
      <c r="Z4" s="31" t="n">
        <v>24</v>
      </c>
      <c r="AA4" s="31" t="n">
        <v>25</v>
      </c>
      <c r="AB4" s="31" t="n">
        <v>26</v>
      </c>
      <c r="AC4" s="31" t="n">
        <v>27</v>
      </c>
      <c r="AD4" s="31" t="n">
        <v>28</v>
      </c>
      <c r="AE4" s="31" t="n">
        <v>29</v>
      </c>
      <c r="AF4" s="31" t="n">
        <v>30</v>
      </c>
      <c r="AG4" s="31" t="n">
        <v>31</v>
      </c>
      <c r="AH4" s="31" t="n">
        <v>32</v>
      </c>
      <c r="AI4" s="31" t="n">
        <v>33</v>
      </c>
      <c r="AJ4" s="31" t="n">
        <v>34</v>
      </c>
      <c r="AK4" s="31" t="n">
        <v>35</v>
      </c>
      <c r="AL4" s="31" t="n">
        <v>36</v>
      </c>
    </row>
    <row r="5" customFormat="false" ht="15" hidden="false" customHeight="false" outlineLevel="0" collapsed="false">
      <c r="A5" s="17" t="s">
        <v>21</v>
      </c>
      <c r="C5" s="17" t="n">
        <f aca="false">ROUNDUP(C4*1/12,0)</f>
        <v>1</v>
      </c>
      <c r="D5" s="17" t="n">
        <f aca="false">ROUNDUP(D4*1/12,0)</f>
        <v>1</v>
      </c>
      <c r="E5" s="17" t="n">
        <f aca="false">ROUNDUP(E4*1/12,0)</f>
        <v>1</v>
      </c>
      <c r="F5" s="17" t="n">
        <f aca="false">ROUNDUP(F4*1/12,0)</f>
        <v>1</v>
      </c>
      <c r="G5" s="17" t="n">
        <f aca="false">ROUNDUP(G4*1/12,0)</f>
        <v>1</v>
      </c>
      <c r="H5" s="17" t="n">
        <f aca="false">ROUNDUP(H4*1/12,0)</f>
        <v>1</v>
      </c>
      <c r="I5" s="17" t="n">
        <f aca="false">ROUNDUP(I4*1/12,0)</f>
        <v>1</v>
      </c>
      <c r="J5" s="17" t="n">
        <f aca="false">ROUNDUP(J4*1/12,0)</f>
        <v>1</v>
      </c>
      <c r="K5" s="17" t="n">
        <f aca="false">ROUNDUP(K4*1/12,0)</f>
        <v>1</v>
      </c>
      <c r="L5" s="17" t="n">
        <f aca="false">ROUNDUP(L4*1/12,0)</f>
        <v>1</v>
      </c>
      <c r="M5" s="17" t="n">
        <f aca="false">ROUNDUP(M4*1/12,0)</f>
        <v>1</v>
      </c>
      <c r="N5" s="17" t="n">
        <f aca="false">ROUNDUP(N4*1/12,0)</f>
        <v>1</v>
      </c>
      <c r="O5" s="17" t="n">
        <f aca="false">ROUNDUP(O4*1/12,0)</f>
        <v>2</v>
      </c>
      <c r="P5" s="17" t="n">
        <f aca="false">ROUNDUP(P4*1/12,0)</f>
        <v>2</v>
      </c>
      <c r="Q5" s="17" t="n">
        <f aca="false">ROUNDUP(Q4*1/12,0)</f>
        <v>2</v>
      </c>
      <c r="R5" s="17" t="n">
        <f aca="false">ROUNDUP(R4*1/12,0)</f>
        <v>2</v>
      </c>
      <c r="S5" s="17" t="n">
        <f aca="false">ROUNDUP(S4*1/12,0)</f>
        <v>2</v>
      </c>
      <c r="T5" s="17" t="n">
        <f aca="false">ROUNDUP(T4*1/12,0)</f>
        <v>2</v>
      </c>
      <c r="U5" s="17" t="n">
        <f aca="false">ROUNDUP(U4*1/12,0)</f>
        <v>2</v>
      </c>
      <c r="V5" s="17" t="n">
        <f aca="false">ROUNDUP(V4*1/12,0)</f>
        <v>2</v>
      </c>
      <c r="W5" s="17" t="n">
        <f aca="false">ROUNDUP(W4*1/12,0)</f>
        <v>2</v>
      </c>
      <c r="X5" s="17" t="n">
        <f aca="false">ROUNDUP(X4*1/12,0)</f>
        <v>2</v>
      </c>
      <c r="Y5" s="17" t="n">
        <f aca="false">ROUNDUP(Y4*1/12,0)</f>
        <v>2</v>
      </c>
      <c r="Z5" s="17" t="n">
        <f aca="false">ROUNDUP(Z4*1/12,0)</f>
        <v>2</v>
      </c>
      <c r="AA5" s="17" t="n">
        <f aca="false">ROUNDUP(AA4*1/12,0)</f>
        <v>3</v>
      </c>
      <c r="AB5" s="17" t="n">
        <f aca="false">ROUNDUP(AB4*1/12,0)</f>
        <v>3</v>
      </c>
      <c r="AC5" s="17" t="n">
        <f aca="false">ROUNDUP(AC4*1/12,0)</f>
        <v>3</v>
      </c>
      <c r="AD5" s="17" t="n">
        <f aca="false">ROUNDUP(AD4*1/12,0)</f>
        <v>3</v>
      </c>
      <c r="AE5" s="17" t="n">
        <f aca="false">ROUNDUP(AE4*1/12,0)</f>
        <v>3</v>
      </c>
      <c r="AF5" s="17" t="n">
        <f aca="false">ROUNDUP(AF4*1/12,0)</f>
        <v>3</v>
      </c>
      <c r="AG5" s="17" t="n">
        <f aca="false">ROUNDUP(AG4*1/12,0)</f>
        <v>3</v>
      </c>
      <c r="AH5" s="17" t="n">
        <f aca="false">ROUNDUP(AH4*1/12,0)</f>
        <v>3</v>
      </c>
      <c r="AI5" s="17" t="n">
        <f aca="false">ROUNDUP(AI4*1/12,0)</f>
        <v>3</v>
      </c>
      <c r="AJ5" s="17" t="n">
        <f aca="false">ROUNDUP(AJ4*1/12,0)</f>
        <v>3</v>
      </c>
      <c r="AK5" s="17" t="n">
        <f aca="false">ROUNDUP(AK4*1/12,0)</f>
        <v>3</v>
      </c>
      <c r="AL5" s="17" t="n">
        <f aca="false">ROUNDUP(AL4*1/12,0)</f>
        <v>3</v>
      </c>
    </row>
    <row r="6" customFormat="false" ht="15" hidden="false" customHeight="false" outlineLevel="0" collapsed="false">
      <c r="A6" s="4" t="s">
        <v>199</v>
      </c>
      <c r="C6" s="35" t="n">
        <f aca="false">0</f>
        <v>0</v>
      </c>
      <c r="D6" s="35" t="n">
        <f aca="false">0</f>
        <v>0</v>
      </c>
      <c r="E6" s="35" t="n">
        <f aca="false">0</f>
        <v>0</v>
      </c>
      <c r="F6" s="35" t="n">
        <f aca="false">0</f>
        <v>0</v>
      </c>
      <c r="G6" s="35" t="n">
        <f aca="false">0</f>
        <v>0</v>
      </c>
      <c r="H6" s="35" t="n">
        <f aca="false">0</f>
        <v>0</v>
      </c>
      <c r="I6" s="35" t="n">
        <f aca="false">0</f>
        <v>0</v>
      </c>
      <c r="J6" s="35" t="n">
        <f aca="false">0</f>
        <v>0</v>
      </c>
      <c r="K6" s="35" t="n">
        <f aca="false">0</f>
        <v>0</v>
      </c>
      <c r="L6" s="35" t="n">
        <f aca="false">0</f>
        <v>0</v>
      </c>
      <c r="M6" s="35" t="n">
        <f aca="false">0</f>
        <v>0</v>
      </c>
      <c r="N6" s="35" t="n">
        <f aca="false">0</f>
        <v>0</v>
      </c>
      <c r="O6" s="35" t="n">
        <f aca="false">0</f>
        <v>0</v>
      </c>
      <c r="P6" s="35" t="n">
        <f aca="false">0</f>
        <v>0</v>
      </c>
      <c r="Q6" s="35" t="n">
        <f aca="false">0</f>
        <v>0</v>
      </c>
      <c r="R6" s="35" t="n">
        <f aca="false">0</f>
        <v>0</v>
      </c>
      <c r="S6" s="35" t="n">
        <f aca="false">0</f>
        <v>0</v>
      </c>
      <c r="T6" s="35" t="n">
        <f aca="false">0</f>
        <v>0</v>
      </c>
      <c r="U6" s="35" t="n">
        <f aca="false">0</f>
        <v>0</v>
      </c>
      <c r="V6" s="35" t="n">
        <f aca="false">0</f>
        <v>0</v>
      </c>
      <c r="W6" s="35" t="n">
        <f aca="false">0</f>
        <v>0</v>
      </c>
      <c r="X6" s="35" t="n">
        <f aca="false">0</f>
        <v>0</v>
      </c>
      <c r="Y6" s="35" t="n">
        <f aca="false">0</f>
        <v>0</v>
      </c>
      <c r="Z6" s="35" t="n">
        <f aca="false">0</f>
        <v>0</v>
      </c>
      <c r="AA6" s="35" t="n">
        <f aca="false">0</f>
        <v>0</v>
      </c>
      <c r="AB6" s="35" t="n">
        <f aca="false">0</f>
        <v>0</v>
      </c>
      <c r="AC6" s="35" t="n">
        <f aca="false">0</f>
        <v>0</v>
      </c>
      <c r="AD6" s="35" t="n">
        <f aca="false">0</f>
        <v>0</v>
      </c>
      <c r="AE6" s="35" t="n">
        <f aca="false">0</f>
        <v>0</v>
      </c>
      <c r="AF6" s="35" t="n">
        <f aca="false">0</f>
        <v>0</v>
      </c>
      <c r="AG6" s="35" t="n">
        <f aca="false">0</f>
        <v>0</v>
      </c>
      <c r="AH6" s="35" t="n">
        <f aca="false">0</f>
        <v>0</v>
      </c>
      <c r="AI6" s="35" t="n">
        <f aca="false">0</f>
        <v>0</v>
      </c>
      <c r="AJ6" s="35" t="n">
        <f aca="false">0</f>
        <v>0</v>
      </c>
      <c r="AK6" s="35" t="n">
        <f aca="false">0</f>
        <v>0</v>
      </c>
      <c r="AL6" s="35" t="n">
        <f aca="false">0</f>
        <v>0</v>
      </c>
    </row>
    <row r="7" customFormat="false" ht="15" hidden="false" customHeight="false" outlineLevel="0" collapsed="false">
      <c r="A7" s="4" t="s">
        <v>200</v>
      </c>
      <c r="C7" s="32" t="n">
        <f aca="false">0</f>
        <v>0</v>
      </c>
      <c r="D7" s="32" t="n">
        <f aca="false">0</f>
        <v>0</v>
      </c>
      <c r="E7" s="32" t="n">
        <f aca="false">0</f>
        <v>0</v>
      </c>
      <c r="F7" s="32" t="n">
        <f aca="false">0</f>
        <v>0</v>
      </c>
      <c r="G7" s="32" t="n">
        <f aca="false">0</f>
        <v>0</v>
      </c>
      <c r="H7" s="32" t="n">
        <f aca="false">0</f>
        <v>0</v>
      </c>
      <c r="I7" s="32" t="n">
        <f aca="false">0</f>
        <v>0</v>
      </c>
      <c r="J7" s="32" t="n">
        <f aca="false">0</f>
        <v>0</v>
      </c>
      <c r="K7" s="32" t="n">
        <f aca="false">0</f>
        <v>0</v>
      </c>
      <c r="L7" s="32" t="n">
        <f aca="false">0</f>
        <v>0</v>
      </c>
      <c r="M7" s="32" t="n">
        <f aca="false">0</f>
        <v>0</v>
      </c>
      <c r="N7" s="32" t="n">
        <f aca="false">0</f>
        <v>0</v>
      </c>
      <c r="O7" s="32" t="n">
        <f aca="false">0</f>
        <v>0</v>
      </c>
      <c r="P7" s="32" t="n">
        <f aca="false">0</f>
        <v>0</v>
      </c>
      <c r="Q7" s="32" t="n">
        <f aca="false">0</f>
        <v>0</v>
      </c>
      <c r="R7" s="32" t="n">
        <f aca="false">0</f>
        <v>0</v>
      </c>
      <c r="S7" s="32" t="n">
        <f aca="false">0</f>
        <v>0</v>
      </c>
      <c r="T7" s="32" t="n">
        <f aca="false">0</f>
        <v>0</v>
      </c>
      <c r="U7" s="32" t="n">
        <f aca="false">0</f>
        <v>0</v>
      </c>
      <c r="V7" s="32" t="n">
        <f aca="false">0</f>
        <v>0</v>
      </c>
      <c r="W7" s="32" t="n">
        <f aca="false">0</f>
        <v>0</v>
      </c>
      <c r="X7" s="32" t="n">
        <f aca="false">0</f>
        <v>0</v>
      </c>
      <c r="Y7" s="32" t="n">
        <f aca="false">0</f>
        <v>0</v>
      </c>
      <c r="Z7" s="32" t="n">
        <f aca="false">0</f>
        <v>0</v>
      </c>
      <c r="AA7" s="32" t="n">
        <f aca="false">0</f>
        <v>0</v>
      </c>
      <c r="AB7" s="32" t="n">
        <f aca="false">0</f>
        <v>0</v>
      </c>
      <c r="AC7" s="32" t="n">
        <f aca="false">0</f>
        <v>0</v>
      </c>
      <c r="AD7" s="32" t="n">
        <f aca="false">0</f>
        <v>0</v>
      </c>
      <c r="AE7" s="32" t="n">
        <f aca="false">0</f>
        <v>0</v>
      </c>
      <c r="AF7" s="32" t="n">
        <f aca="false">0</f>
        <v>0</v>
      </c>
      <c r="AG7" s="32" t="n">
        <f aca="false">0</f>
        <v>0</v>
      </c>
      <c r="AH7" s="32" t="n">
        <f aca="false">0</f>
        <v>0</v>
      </c>
      <c r="AI7" s="32" t="n">
        <f aca="false">0</f>
        <v>0</v>
      </c>
      <c r="AJ7" s="32" t="n">
        <f aca="false">0</f>
        <v>0</v>
      </c>
      <c r="AK7" s="32" t="n">
        <f aca="false">0</f>
        <v>0</v>
      </c>
      <c r="AL7" s="32" t="n">
        <f aca="false">0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6" min="2" style="0" width="16"/>
  </cols>
  <sheetData>
    <row r="1" customFormat="false" ht="24" hidden="false" customHeight="true" outlineLevel="0" collapsed="false">
      <c r="A1" s="1" t="s">
        <v>201</v>
      </c>
      <c r="B1" s="2"/>
      <c r="C1" s="2"/>
      <c r="D1" s="2"/>
      <c r="E1" s="2"/>
    </row>
    <row r="2" customFormat="false" ht="15" hidden="false" customHeight="false" outlineLevel="0" collapsed="false">
      <c r="A2" s="3" t="s">
        <v>202</v>
      </c>
    </row>
    <row r="3" customFormat="false" ht="15" hidden="false" customHeight="false" outlineLevel="0" collapsed="false">
      <c r="A3" s="4" t="s">
        <v>203</v>
      </c>
      <c r="B3" s="6" t="str">
        <f aca="false">CHOOSE(Dashboard!$B$4,"Low","Base","High")</f>
        <v>Base</v>
      </c>
    </row>
    <row r="5" customFormat="false" ht="15" hidden="false" customHeight="false" outlineLevel="0" collapsed="false">
      <c r="A5" s="7" t="s">
        <v>204</v>
      </c>
      <c r="B5" s="8"/>
      <c r="C5" s="8"/>
      <c r="D5" s="8"/>
      <c r="E5" s="8"/>
    </row>
    <row r="6" customFormat="false" ht="15" hidden="false" customHeight="false" outlineLevel="0" collapsed="false">
      <c r="A6" s="11" t="s">
        <v>46</v>
      </c>
      <c r="B6" s="10" t="n">
        <f aca="false">Inputs!$E$7</f>
        <v>1850000</v>
      </c>
    </row>
    <row r="7" customFormat="false" ht="15" hidden="false" customHeight="false" outlineLevel="0" collapsed="false">
      <c r="A7" s="11" t="s">
        <v>205</v>
      </c>
      <c r="B7" s="19" t="n">
        <f aca="false">B6*Inputs!$E$9</f>
        <v>55500</v>
      </c>
    </row>
    <row r="8" customFormat="false" ht="15" hidden="false" customHeight="false" outlineLevel="0" collapsed="false">
      <c r="A8" s="4" t="s">
        <v>206</v>
      </c>
      <c r="B8" s="32" t="n">
        <f aca="false">B6+B7</f>
        <v>1905500</v>
      </c>
    </row>
    <row r="9" customFormat="false" ht="15" hidden="false" customHeight="false" outlineLevel="0" collapsed="false">
      <c r="A9" s="11" t="s">
        <v>207</v>
      </c>
      <c r="B9" s="10" t="n">
        <f aca="false">Inputs!$E$35</f>
        <v>1200000</v>
      </c>
    </row>
    <row r="10" customFormat="false" ht="15" hidden="false" customHeight="false" outlineLevel="0" collapsed="false">
      <c r="A10" s="4" t="s">
        <v>208</v>
      </c>
      <c r="B10" s="15" t="n">
        <f aca="false">B8-B9</f>
        <v>705500</v>
      </c>
    </row>
    <row r="11" customFormat="false" ht="15" hidden="false" customHeight="false" outlineLevel="0" collapsed="false">
      <c r="A11" s="11" t="s">
        <v>209</v>
      </c>
      <c r="B11" s="20" t="n">
        <f aca="false">IF(B6&gt;0,B9/B6,0)</f>
        <v>0.648648648648649</v>
      </c>
    </row>
    <row r="13" customFormat="false" ht="15" hidden="false" customHeight="false" outlineLevel="0" collapsed="false">
      <c r="A13" s="7" t="s">
        <v>210</v>
      </c>
      <c r="B13" s="8"/>
      <c r="C13" s="8"/>
      <c r="D13" s="8"/>
      <c r="E13" s="8"/>
    </row>
    <row r="14" customFormat="false" ht="15" hidden="false" customHeight="false" outlineLevel="0" collapsed="false">
      <c r="B14" s="9" t="s">
        <v>211</v>
      </c>
      <c r="C14" s="9" t="s">
        <v>4</v>
      </c>
      <c r="D14" s="9" t="s">
        <v>5</v>
      </c>
      <c r="E14" s="9" t="s">
        <v>6</v>
      </c>
    </row>
    <row r="15" customFormat="false" ht="15" hidden="false" customHeight="false" outlineLevel="0" collapsed="false">
      <c r="A15" s="11" t="s">
        <v>21</v>
      </c>
      <c r="B15" s="36" t="n">
        <f aca="false">0</f>
        <v>0</v>
      </c>
      <c r="C15" s="36" t="n">
        <f aca="false">B15+1</f>
        <v>1</v>
      </c>
      <c r="D15" s="36" t="n">
        <f aca="false">C15+1</f>
        <v>2</v>
      </c>
      <c r="E15" s="36" t="n">
        <f aca="false">D15+1</f>
        <v>3</v>
      </c>
    </row>
    <row r="16" customFormat="false" ht="15" hidden="false" customHeight="false" outlineLevel="0" collapsed="false">
      <c r="A16" s="11" t="s">
        <v>212</v>
      </c>
      <c r="B16" s="19" t="n">
        <f aca="false">-IF(B$15=0,$B$8,0)</f>
        <v>-1905500</v>
      </c>
      <c r="C16" s="19" t="n">
        <f aca="false">-IF(C$15=0,$B$8,0)</f>
        <v>-0</v>
      </c>
      <c r="D16" s="19" t="n">
        <f aca="false">-IF(D$15=0,$B$8,0)</f>
        <v>-0</v>
      </c>
      <c r="E16" s="19" t="n">
        <f aca="false">-IF(E$15=0,$B$8,0)</f>
        <v>-0</v>
      </c>
    </row>
    <row r="17" customFormat="false" ht="15" hidden="false" customHeight="false" outlineLevel="0" collapsed="false">
      <c r="A17" s="11" t="s">
        <v>27</v>
      </c>
      <c r="B17" s="19" t="n">
        <f aca="false">SUMIF(Monthly!$C$5:$AL$5,B$15,Monthly!$C$26:$AL$26)</f>
        <v>0</v>
      </c>
      <c r="C17" s="19" t="n">
        <f aca="false">SUMIF(Monthly!$C$5:$AL$5,C$15,Monthly!$C$26:$AL$26)</f>
        <v>125340</v>
      </c>
      <c r="D17" s="19" t="n">
        <f aca="false">SUMIF(Monthly!$C$5:$AL$5,D$15,Monthly!$C$26:$AL$26)</f>
        <v>129100.2</v>
      </c>
      <c r="E17" s="19" t="n">
        <f aca="false">SUMIF(Monthly!$C$5:$AL$5,E$15,Monthly!$C$26:$AL$26)</f>
        <v>132973.206</v>
      </c>
    </row>
    <row r="18" customFormat="false" ht="15" hidden="false" customHeight="false" outlineLevel="0" collapsed="false">
      <c r="A18" s="11" t="s">
        <v>213</v>
      </c>
      <c r="B18" s="19" t="n">
        <f aca="false">-(SUMIF(Monthly!$C$5:$AL$5,B$15,Monthly!$C$41:$AL$41)-SUMIF(Monthly!$C$5:$AL$5,B$15,Monthly!$C$38:$AL$38))</f>
        <v>-0</v>
      </c>
      <c r="C18" s="19" t="n">
        <f aca="false">-(SUMIF(Monthly!$C$5:$AL$5,C$15,Monthly!$C$41:$AL$41)-SUMIF(Monthly!$C$5:$AL$5,C$15,Monthly!$C$38:$AL$38))</f>
        <v>-3500</v>
      </c>
      <c r="D18" s="19" t="n">
        <f aca="false">-(SUMIF(Monthly!$C$5:$AL$5,D$15,Monthly!$C$41:$AL$41)-SUMIF(Monthly!$C$5:$AL$5,D$15,Monthly!$C$38:$AL$38))</f>
        <v>-3605</v>
      </c>
      <c r="E18" s="19" t="n">
        <f aca="false">-(SUMIF(Monthly!$C$5:$AL$5,E$15,Monthly!$C$41:$AL$41)-SUMIF(Monthly!$C$5:$AL$5,E$15,Monthly!$C$38:$AL$38))</f>
        <v>-3713.15</v>
      </c>
    </row>
    <row r="19" customFormat="false" ht="15" hidden="false" customHeight="false" outlineLevel="0" collapsed="false">
      <c r="A19" s="11" t="s">
        <v>214</v>
      </c>
      <c r="B19" s="19" t="n">
        <f aca="false">IF(B$15=$E$15,$B$36,0)</f>
        <v>0</v>
      </c>
      <c r="C19" s="19" t="n">
        <f aca="false">IF(C$15=$E$15,$B$36,0)</f>
        <v>0</v>
      </c>
      <c r="D19" s="19" t="n">
        <f aca="false">IF(D$15=$E$15,$B$36,0)</f>
        <v>0</v>
      </c>
      <c r="E19" s="19" t="n">
        <f aca="false">IF(E$15=$E$15,$B$36,0)</f>
        <v>1927618.99364444</v>
      </c>
    </row>
    <row r="20" customFormat="false" ht="15" hidden="false" customHeight="false" outlineLevel="0" collapsed="false">
      <c r="A20" s="4" t="s">
        <v>215</v>
      </c>
      <c r="B20" s="32" t="n">
        <f aca="false">B16+B17+B18+B19</f>
        <v>-1905500</v>
      </c>
      <c r="C20" s="32" t="n">
        <f aca="false">C16+C17+C18+C19</f>
        <v>121840</v>
      </c>
      <c r="D20" s="32" t="n">
        <f aca="false">D16+D17+D18+D19</f>
        <v>125495.2</v>
      </c>
      <c r="E20" s="32" t="n">
        <f aca="false">E16+E17+E18+E19</f>
        <v>2056879.04964444</v>
      </c>
    </row>
    <row r="21" customFormat="false" ht="15" hidden="false" customHeight="false" outlineLevel="0" collapsed="false">
      <c r="A21" s="11" t="s">
        <v>216</v>
      </c>
      <c r="B21" s="19" t="n">
        <f aca="false">IF(B$15=0,$B$9,0)</f>
        <v>1200000</v>
      </c>
      <c r="C21" s="19" t="n">
        <f aca="false">IF(C$15=0,$B$9,0)</f>
        <v>0</v>
      </c>
      <c r="D21" s="19" t="n">
        <f aca="false">IF(D$15=0,$B$9,0)</f>
        <v>0</v>
      </c>
      <c r="E21" s="19" t="n">
        <f aca="false">IF(E$15=0,$B$9,0)</f>
        <v>0</v>
      </c>
    </row>
    <row r="22" customFormat="false" ht="15" hidden="false" customHeight="false" outlineLevel="0" collapsed="false">
      <c r="A22" s="11" t="s">
        <v>188</v>
      </c>
      <c r="B22" s="19" t="n">
        <f aca="false">SUMIF(Monthly!$C$5:$AL$5,B$15,Monthly!$C$30:$AL$30)</f>
        <v>0</v>
      </c>
      <c r="C22" s="19" t="n">
        <f aca="false">SUMIF(Monthly!$C$5:$AL$5,C$15,Monthly!$C$30:$AL$30)</f>
        <v>-77605.089755467</v>
      </c>
      <c r="D22" s="19" t="n">
        <f aca="false">SUMIF(Monthly!$C$5:$AL$5,D$15,Monthly!$C$30:$AL$30)</f>
        <v>-76706.816019227</v>
      </c>
      <c r="E22" s="19" t="n">
        <f aca="false">SUMIF(Monthly!$C$5:$AL$5,E$15,Monthly!$C$30:$AL$30)</f>
        <v>-75748.3832272659</v>
      </c>
    </row>
    <row r="23" customFormat="false" ht="15" hidden="false" customHeight="false" outlineLevel="0" collapsed="false">
      <c r="A23" s="11" t="s">
        <v>217</v>
      </c>
      <c r="B23" s="19" t="n">
        <f aca="false">SUMIF(Monthly!$C$5:$AL$5,B$15,Monthly!$C$52:$AL$52)</f>
        <v>0</v>
      </c>
      <c r="C23" s="19" t="n">
        <f aca="false">SUMIF(Monthly!$C$5:$AL$5,C$15,Monthly!$C$52:$AL$52)</f>
        <v>-13412.7056275198</v>
      </c>
      <c r="D23" s="19" t="n">
        <f aca="false">SUMIF(Monthly!$C$5:$AL$5,D$15,Monthly!$C$52:$AL$52)</f>
        <v>-14310.9793637598</v>
      </c>
      <c r="E23" s="19" t="n">
        <f aca="false">SUMIF(Monthly!$C$5:$AL$5,E$15,Monthly!$C$52:$AL$52)</f>
        <v>-15269.4121557209</v>
      </c>
    </row>
    <row r="24" customFormat="false" ht="15" hidden="false" customHeight="false" outlineLevel="0" collapsed="false">
      <c r="A24" s="11" t="s">
        <v>218</v>
      </c>
      <c r="B24" s="19" t="n">
        <f aca="false">-IF(B$15=$E$15,$B$37,0)</f>
        <v>-0</v>
      </c>
      <c r="C24" s="19" t="n">
        <f aca="false">-IF(C$15=$E$15,$B$37,0)</f>
        <v>-0</v>
      </c>
      <c r="D24" s="19" t="n">
        <f aca="false">-IF(D$15=$E$15,$B$37,0)</f>
        <v>-0</v>
      </c>
      <c r="E24" s="19" t="n">
        <f aca="false">-IF(E$15=$E$15,$B$37,0)</f>
        <v>-1157006.902853</v>
      </c>
    </row>
    <row r="25" customFormat="false" ht="15" hidden="false" customHeight="false" outlineLevel="0" collapsed="false">
      <c r="A25" s="4" t="s">
        <v>219</v>
      </c>
      <c r="B25" s="32" t="n">
        <f aca="false">B20+B21+B22+B23+B24</f>
        <v>-705500</v>
      </c>
      <c r="C25" s="32" t="n">
        <f aca="false">C20+C21+C22+C23+C24</f>
        <v>30822.2046170132</v>
      </c>
      <c r="D25" s="32" t="n">
        <f aca="false">D20+D21+D22+D23+D24</f>
        <v>34477.4046170132</v>
      </c>
      <c r="E25" s="32" t="n">
        <f aca="false">E20+E21+E22+E23+E24</f>
        <v>808854.351408458</v>
      </c>
    </row>
    <row r="26" customFormat="false" ht="15" hidden="false" customHeight="false" outlineLevel="0" collapsed="false">
      <c r="A26" s="11" t="s">
        <v>33</v>
      </c>
      <c r="B26" s="37" t="str">
        <f aca="false">IF(-(B22+B23)&gt;0.5,B17/-(B22+B23),"n/a")</f>
        <v>n/a</v>
      </c>
      <c r="C26" s="37" t="n">
        <f aca="false">IF(-(C22+C23)&gt;0.5,C17/-(C22+C23),"n/a")</f>
        <v>1.37709334172061</v>
      </c>
      <c r="D26" s="37" t="n">
        <f aca="false">IF(-(D22+D23)&gt;0.5,D17/-(D22+D23),"n/a")</f>
        <v>1.41840614197223</v>
      </c>
      <c r="E26" s="37" t="n">
        <f aca="false">IF(-(E22+E23)&gt;0.5,E17/-(E22+E23),"n/a")</f>
        <v>1.4609583262314</v>
      </c>
    </row>
    <row r="27" customFormat="false" ht="15" hidden="false" customHeight="false" outlineLevel="0" collapsed="false">
      <c r="A27" s="11" t="s">
        <v>220</v>
      </c>
      <c r="B27" s="20" t="str">
        <f aca="false">IF(AND(B$15&gt;0,$B$10&gt;0),(B17+B18+B22+B23)/$B$10,"n/a")</f>
        <v>n/a</v>
      </c>
      <c r="C27" s="20" t="n">
        <f aca="false">IF(AND(C$15&gt;0,$B$10&gt;0),(C17+C18+C22+C23)/$B$10,"n/a")</f>
        <v>0.0436884544535978</v>
      </c>
      <c r="D27" s="20" t="n">
        <f aca="false">IF(AND(D$15&gt;0,$B$10&gt;0),(D17+D18+D22+D23)/$B$10,"n/a")</f>
        <v>0.0488694608320528</v>
      </c>
      <c r="E27" s="20" t="n">
        <f aca="false">IF(AND(E$15&gt;0,$B$10&gt;0),(E17+E18+E22+E23)/$B$10,"n/a")</f>
        <v>0.0542058974018614</v>
      </c>
    </row>
    <row r="28" customFormat="false" ht="15" hidden="false" customHeight="false" outlineLevel="0" collapsed="false">
      <c r="A28" s="11" t="s">
        <v>221</v>
      </c>
      <c r="B28" s="36" t="n">
        <f aca="false">SIGN(B20)</f>
        <v>-1</v>
      </c>
      <c r="C28" s="36" t="n">
        <f aca="false">IF(C20=0,B28,SIGN(C20))</f>
        <v>1</v>
      </c>
      <c r="D28" s="36" t="n">
        <f aca="false">IF(D20=0,C28,SIGN(D20))</f>
        <v>1</v>
      </c>
      <c r="E28" s="36" t="n">
        <f aca="false">IF(E20=0,D28,SIGN(E20))</f>
        <v>1</v>
      </c>
    </row>
    <row r="29" customFormat="false" ht="15" hidden="false" customHeight="false" outlineLevel="0" collapsed="false">
      <c r="A29" s="11" t="s">
        <v>222</v>
      </c>
      <c r="B29" s="36" t="n">
        <f aca="false">SIGN(B25)</f>
        <v>-1</v>
      </c>
      <c r="C29" s="36" t="n">
        <f aca="false">IF(C25=0,B29,SIGN(C25))</f>
        <v>1</v>
      </c>
      <c r="D29" s="36" t="n">
        <f aca="false">IF(D25=0,C29,SIGN(D25))</f>
        <v>1</v>
      </c>
      <c r="E29" s="36" t="n">
        <f aca="false">IF(E25=0,D29,SIGN(E25))</f>
        <v>1</v>
      </c>
    </row>
    <row r="31" customFormat="false" ht="15" hidden="false" customHeight="false" outlineLevel="0" collapsed="false">
      <c r="A31" s="7" t="s">
        <v>223</v>
      </c>
      <c r="B31" s="8"/>
      <c r="C31" s="8"/>
      <c r="D31" s="8"/>
      <c r="E31" s="8"/>
    </row>
    <row r="32" customFormat="false" ht="15" hidden="false" customHeight="false" outlineLevel="0" collapsed="false">
      <c r="A32" s="11" t="s">
        <v>224</v>
      </c>
      <c r="B32" s="19" t="n">
        <f aca="false">E17*(1+Inputs!$E$14)</f>
        <v>136962.40218</v>
      </c>
    </row>
    <row r="33" customFormat="false" ht="15" hidden="false" customHeight="false" outlineLevel="0" collapsed="false">
      <c r="A33" s="11" t="s">
        <v>225</v>
      </c>
      <c r="B33" s="12" t="n">
        <f aca="false">Inputs!$E$29</f>
        <v>0.0675</v>
      </c>
    </row>
    <row r="34" customFormat="false" ht="15" hidden="false" customHeight="false" outlineLevel="0" collapsed="false">
      <c r="A34" s="11" t="s">
        <v>226</v>
      </c>
      <c r="B34" s="19" t="n">
        <f aca="false">IF(B33&gt;0,B32/B33,0)</f>
        <v>2029072.62488889</v>
      </c>
    </row>
    <row r="35" customFormat="false" ht="15" hidden="false" customHeight="false" outlineLevel="0" collapsed="false">
      <c r="A35" s="11" t="s">
        <v>227</v>
      </c>
      <c r="B35" s="19" t="n">
        <f aca="false">-B34*Inputs!$E$30</f>
        <v>-101453.631244444</v>
      </c>
    </row>
    <row r="36" customFormat="false" ht="15" hidden="false" customHeight="false" outlineLevel="0" collapsed="false">
      <c r="A36" s="4" t="s">
        <v>228</v>
      </c>
      <c r="B36" s="32" t="n">
        <f aca="false">B34+B35</f>
        <v>1927618.99364444</v>
      </c>
    </row>
    <row r="37" customFormat="false" ht="15" hidden="false" customHeight="false" outlineLevel="0" collapsed="false">
      <c r="A37" s="11" t="s">
        <v>229</v>
      </c>
      <c r="B37" s="19" t="n">
        <f aca="false">INDEX(Monthly!$C$54:$AL$54,36)</f>
        <v>1157006.902853</v>
      </c>
    </row>
    <row r="38" customFormat="false" ht="15" hidden="false" customHeight="false" outlineLevel="0" collapsed="false">
      <c r="A38" s="4" t="s">
        <v>230</v>
      </c>
      <c r="B38" s="15" t="n">
        <f aca="false">B36-B37</f>
        <v>770612.090791445</v>
      </c>
    </row>
    <row r="40" customFormat="false" ht="15" hidden="false" customHeight="false" outlineLevel="0" collapsed="false">
      <c r="A40" s="7" t="s">
        <v>231</v>
      </c>
      <c r="B40" s="8"/>
      <c r="C40" s="8"/>
      <c r="D40" s="8"/>
      <c r="E40" s="8"/>
    </row>
    <row r="41" customFormat="false" ht="15" hidden="false" customHeight="false" outlineLevel="0" collapsed="false">
      <c r="B41" s="9" t="s">
        <v>232</v>
      </c>
      <c r="C41" s="9" t="s">
        <v>233</v>
      </c>
    </row>
    <row r="42" customFormat="false" ht="15" hidden="false" customHeight="false" outlineLevel="0" collapsed="false">
      <c r="A42" s="11" t="s">
        <v>234</v>
      </c>
      <c r="B42" s="20" t="n">
        <f aca="false">IF(B44=1,IFERROR(IRR($B$20:$E$20,B43),IFERROR(IRR($B$20:$E$20),"n/a")),"n/a")</f>
        <v>0.0694044035752205</v>
      </c>
      <c r="C42" s="20" t="n">
        <f aca="false">IF(C44=1,IFERROR(IRR($B$25:$E$25,C43),IFERROR(IRR($B$25:$E$25),"n/a")),"n/a")</f>
        <v>0.077168516706971</v>
      </c>
    </row>
    <row r="43" customFormat="false" ht="15" hidden="false" customHeight="false" outlineLevel="0" collapsed="false">
      <c r="A43" s="11" t="s">
        <v>235</v>
      </c>
      <c r="B43" s="20" t="n">
        <f aca="false">IF(AND(SUMIF($B$20:$E$20,"&gt;0")&gt;0,-SUMIF($B$20:$E$20,"&lt;0")&gt;0),MAX(-0.99,(SUMIF($B$20:$E$20,"&gt;0")/(-SUMIF($B$20:$E$20,"&lt;0")))^(1/$E$15)-1),0.1)</f>
        <v>0.0653802338076868</v>
      </c>
      <c r="C43" s="20" t="n">
        <f aca="false">IF(AND(SUMIF($B$25:$E$25,"&gt;0")&gt;0,-SUMIF($B$25:$E$25,"&lt;0")&gt;0),MAX(-0.99,(SUMIF($B$25:$E$25,"&gt;0")/(-SUMIF($B$25:$E$25,"&lt;0")))^(1/$E$15)-1),0.1)</f>
        <v>0.0740643549091244</v>
      </c>
    </row>
    <row r="44" customFormat="false" ht="15" hidden="false" customHeight="false" outlineLevel="0" collapsed="false">
      <c r="A44" s="11" t="s">
        <v>236</v>
      </c>
      <c r="B44" s="36" t="n">
        <f aca="false">IF(AND(SUMPRODUCT(--($B$28:$D$28*$C$28:$E$28&lt;0))=1,SUMIF($B$20:$E$20,"&gt;0")&gt;=0.25*-SUMIF($B$20:$E$20,"&lt;0")),1,0)</f>
        <v>1</v>
      </c>
      <c r="C44" s="36" t="n">
        <f aca="false">IF(AND(SUMPRODUCT(--($B$29:$D$29*$C$29:$E$29&lt;0))=1,SUMIF($B$25:$E$25,"&gt;0")&gt;=0.25*-SUMIF($B$25:$E$25,"&lt;0")),1,0)</f>
        <v>1</v>
      </c>
    </row>
    <row r="45" customFormat="false" ht="15" hidden="false" customHeight="false" outlineLevel="0" collapsed="false">
      <c r="A45" s="11" t="s">
        <v>237</v>
      </c>
      <c r="B45" s="12" t="n">
        <f aca="false">Inputs!$E$31</f>
        <v>0.1</v>
      </c>
    </row>
    <row r="46" customFormat="false" ht="15" hidden="false" customHeight="false" outlineLevel="0" collapsed="false">
      <c r="A46" s="4" t="s">
        <v>238</v>
      </c>
      <c r="B46" s="15" t="n">
        <f aca="false">$B$20+NPV($B$45,$C$20:$E$20)</f>
        <v>-145657.648651808</v>
      </c>
      <c r="C46" s="15" t="n">
        <f aca="false">$B$25+NPV($B$45,$C$25:$E$25)</f>
        <v>-41281.8451737355</v>
      </c>
    </row>
    <row r="47" customFormat="false" ht="15" hidden="false" customHeight="false" outlineLevel="0" collapsed="false">
      <c r="A47" s="11" t="s">
        <v>239</v>
      </c>
      <c r="B47" s="19" t="n">
        <f aca="false">SUM($B$20:$E$20)</f>
        <v>398714.249644444</v>
      </c>
      <c r="C47" s="19" t="n">
        <f aca="false">SUM($B$25:$E$25)</f>
        <v>168653.960642484</v>
      </c>
    </row>
    <row r="48" customFormat="false" ht="15" hidden="false" customHeight="false" outlineLevel="0" collapsed="false">
      <c r="A48" s="11" t="s">
        <v>240</v>
      </c>
      <c r="B48" s="37" t="n">
        <f aca="false">IF($B$20&lt;0,SUM($C$20:$E$20)/-$B$20,"n/a")</f>
        <v>1.20924389905245</v>
      </c>
      <c r="C48" s="37" t="n">
        <f aca="false">IF($B$25&lt;0,SUM($C$25:$E$25)/-$B$25,"n/a")</f>
        <v>1.23905593287383</v>
      </c>
    </row>
    <row r="49" customFormat="false" ht="15" hidden="false" customHeight="false" outlineLevel="0" collapsed="false">
      <c r="A49" s="11" t="s">
        <v>241</v>
      </c>
      <c r="B49" s="20" t="n">
        <f aca="false">IF(B6&gt;0,C17/B6,0)</f>
        <v>0.0677513513513514</v>
      </c>
    </row>
    <row r="51" customFormat="false" ht="15" hidden="false" customHeight="false" outlineLevel="0" collapsed="false">
      <c r="A51" s="3" t="s">
        <v>242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2"/>
    <col collapsed="false" customWidth="true" hidden="false" outlineLevel="0" max="3" min="3" style="0" width="64"/>
  </cols>
  <sheetData>
    <row r="1" customFormat="false" ht="24" hidden="false" customHeight="true" outlineLevel="0" collapsed="false">
      <c r="A1" s="1" t="s">
        <v>19</v>
      </c>
      <c r="B1" s="2"/>
      <c r="C1" s="2"/>
    </row>
    <row r="2" customFormat="false" ht="15" hidden="false" customHeight="false" outlineLevel="0" collapsed="false">
      <c r="A2" s="3" t="s">
        <v>243</v>
      </c>
    </row>
    <row r="3" customFormat="false" ht="15" hidden="false" customHeight="false" outlineLevel="0" collapsed="false">
      <c r="A3" s="22" t="s">
        <v>244</v>
      </c>
      <c r="B3" s="22" t="s">
        <v>245</v>
      </c>
      <c r="C3" s="22" t="s">
        <v>246</v>
      </c>
    </row>
    <row r="4" customFormat="false" ht="15" hidden="false" customHeight="false" outlineLevel="0" collapsed="false">
      <c r="A4" s="11" t="s">
        <v>247</v>
      </c>
      <c r="B4" s="4" t="str">
        <f aca="false">IF(ABS(SUM('P&amp;L'!$B$5:$D$5)-SUM(Monthly!$C$12:$AL$12))&lt;0.5,"PASS","FAIL")</f>
        <v>PASS</v>
      </c>
      <c r="C4" s="17" t="s">
        <v>248</v>
      </c>
    </row>
    <row r="5" customFormat="false" ht="15" hidden="false" customHeight="false" outlineLevel="0" collapsed="false">
      <c r="A5" s="11" t="s">
        <v>249</v>
      </c>
      <c r="B5" s="4" t="str">
        <f aca="false">IF(ABS(SUM('P&amp;L'!$B$21:$D$21)-SUM(Monthly!$C$35:$AL$35))&lt;0.5,"PASS","FAIL")</f>
        <v>PASS</v>
      </c>
      <c r="C5" s="17" t="s">
        <v>250</v>
      </c>
    </row>
    <row r="6" customFormat="false" ht="15" hidden="false" customHeight="false" outlineLevel="0" collapsed="false">
      <c r="A6" s="11" t="s">
        <v>251</v>
      </c>
      <c r="B6" s="4" t="str">
        <f aca="false">IF(ABS(SUM(Monthly!$C$26:$AL$26)-SUM(Monthly!$C$18:$AL$18)-SUM(Monthly!$C$25:$AL$25))&lt;0.5,"PASS","FAIL")</f>
        <v>PASS</v>
      </c>
      <c r="C6" s="17" t="s">
        <v>252</v>
      </c>
    </row>
    <row r="7" customFormat="false" ht="15" hidden="false" customHeight="false" outlineLevel="0" collapsed="false">
      <c r="A7" s="11" t="s">
        <v>253</v>
      </c>
      <c r="B7" s="4" t="str">
        <f aca="false">IF(ABS(INDEX(Monthly!$C$71:$AL$71,36)-SUM(Monthly!$C$69:$AL$69))&lt;0.5,"PASS","FAIL")</f>
        <v>PASS</v>
      </c>
      <c r="C7" s="17" t="s">
        <v>254</v>
      </c>
    </row>
    <row r="8" customFormat="false" ht="15" hidden="false" customHeight="false" outlineLevel="0" collapsed="false">
      <c r="A8" s="11" t="s">
        <v>255</v>
      </c>
      <c r="B8" s="4" t="str">
        <f aca="false">IF(AND(ISNUMBER(Dashboard!B4),Dashboard!B4&gt;=1,Dashboard!B4&lt;=3,INT(Dashboard!B4)=Dashboard!B4),"PASS","FAIL")</f>
        <v>PASS</v>
      </c>
      <c r="C8" s="17" t="s">
        <v>256</v>
      </c>
    </row>
    <row r="9" customFormat="false" ht="15" hidden="false" customHeight="false" outlineLevel="0" collapsed="false">
      <c r="A9" s="11" t="s">
        <v>257</v>
      </c>
      <c r="B9" s="4" t="str">
        <f aca="false">IF(AND(Inputs!$B$9&gt;=Inputs!$C$9,Inputs!$C$9&gt;=Inputs!$D$9,Inputs!$B$13&lt;=Inputs!$C$13,Inputs!$C$13&lt;=Inputs!$D$13,Inputs!$B$14&lt;=Inputs!$C$14,Inputs!$C$14&lt;=Inputs!$D$14,Inputs!$B$15&gt;=Inputs!$C$15,Inputs!$C$15&gt;=Inputs!$D$15,Inputs!$B$16&lt;=Inputs!$C$16,Inputs!$C$16&lt;=Inputs!$D$16,Inputs!$B$19&gt;=Inputs!$C$19,Inputs!$C$19&gt;=Inputs!$D$19,Inputs!$B$23&gt;=Inputs!$C$23,Inputs!$C$23&gt;=Inputs!$D$23,Inputs!$B$25&gt;=Inputs!$C$25,Inputs!$C$25&gt;=Inputs!$D$25,Inputs!$B$29&gt;=Inputs!$C$29,Inputs!$C$29&gt;=Inputs!$D$29,Inputs!$B$30&gt;=Inputs!$C$30,Inputs!$C$30&gt;=Inputs!$D$30),"PASS","FAIL")</f>
        <v>PASS</v>
      </c>
      <c r="C9" s="17" t="s">
        <v>258</v>
      </c>
    </row>
    <row r="10" customFormat="false" ht="15" hidden="false" customHeight="false" outlineLevel="0" collapsed="false">
      <c r="A10" s="11" t="s">
        <v>259</v>
      </c>
      <c r="B10" s="4" t="str">
        <f aca="false">IF(AND(MIN('P&amp;L'!$B$8:$D$8)&gt;=0,MAX('P&amp;L'!$B$8:$D$8)&lt;=1),"PASS","FAIL")</f>
        <v>PASS</v>
      </c>
      <c r="C10" s="17" t="s">
        <v>260</v>
      </c>
    </row>
    <row r="11" customFormat="false" ht="15" hidden="false" customHeight="false" outlineLevel="0" collapsed="false">
      <c r="A11" s="11" t="s">
        <v>261</v>
      </c>
      <c r="B11" s="4" t="str">
        <f aca="false">IF(MIN(Monthly!$C$54:$AL$54)&gt;=-0.5,"PASS","FAIL")</f>
        <v>PASS</v>
      </c>
      <c r="C11" s="17" t="s">
        <v>262</v>
      </c>
    </row>
    <row r="12" customFormat="false" ht="15" hidden="false" customHeight="false" outlineLevel="0" collapsed="false">
      <c r="A12" s="11" t="s">
        <v>263</v>
      </c>
      <c r="B12" s="4" t="str">
        <f aca="false">IF(ABS(SUM(Returns!$B$17:$E$17)-SUM(Monthly!$C$26:$AL$26))&lt;0.5,"PASS","FAIL")</f>
        <v>PASS</v>
      </c>
      <c r="C12" s="17" t="s">
        <v>264</v>
      </c>
    </row>
    <row r="13" customFormat="false" ht="15" hidden="false" customHeight="false" outlineLevel="0" collapsed="false">
      <c r="A13" s="11" t="s">
        <v>265</v>
      </c>
      <c r="B13" s="4" t="str">
        <f aca="false">IF(ABS(SUM(Returns!$B$16:$E$16)+SUM(Monthly!$C$38:$AL$38))&lt;0.5,"PASS","FAIL")</f>
        <v>PASS</v>
      </c>
      <c r="C13" s="17" t="s">
        <v>266</v>
      </c>
    </row>
    <row r="14" customFormat="false" ht="15" hidden="false" customHeight="false" outlineLevel="0" collapsed="false">
      <c r="A14" s="11" t="s">
        <v>267</v>
      </c>
      <c r="B14" s="4" t="str">
        <f aca="false">IF(ABS(SUM(Returns!$B$21:$E$21)+SUM(Returns!$B$23:$E$23)+SUM(Returns!$B$24:$E$24))&lt;0.5,"PASS","FAIL")</f>
        <v>PASS</v>
      </c>
      <c r="C14" s="17" t="s">
        <v>268</v>
      </c>
    </row>
    <row r="15" customFormat="false" ht="15" hidden="false" customHeight="false" outlineLevel="0" collapsed="false">
      <c r="A15" s="11" t="s">
        <v>269</v>
      </c>
      <c r="B15" s="4" t="str">
        <f aca="false">IF(IF(ISNUMBER(Returns!B42),ABS(SUMPRODUCT(Returns!$B$20:$E$20/(1+Returns!B42)^Returns!$B$15:$E$15))&lt;1,TRUE()),"PASS","FAIL")</f>
        <v>PASS</v>
      </c>
      <c r="C15" s="17" t="s">
        <v>270</v>
      </c>
    </row>
    <row r="16" customFormat="false" ht="15" hidden="false" customHeight="false" outlineLevel="0" collapsed="false">
      <c r="A16" s="11" t="s">
        <v>271</v>
      </c>
      <c r="B16" s="4" t="str">
        <f aca="false">IF(IF(ISNUMBER(Returns!C42),ABS(SUMPRODUCT(Returns!$B$25:$E$25/(1+Returns!C42)^Returns!$B$15:$E$15))&lt;1,TRUE()),"PASS","FAIL")</f>
        <v>PASS</v>
      </c>
      <c r="C16" s="17" t="s">
        <v>272</v>
      </c>
    </row>
    <row r="17" customFormat="false" ht="15" hidden="false" customHeight="false" outlineLevel="0" collapsed="false">
      <c r="A17" s="11" t="s">
        <v>273</v>
      </c>
      <c r="B17" s="4" t="str">
        <f aca="false">IF(SUMPRODUCT(--ISNUMBER(Returns!$C$26:$E$26),--(Returns!$C$26:$E$26&lt;1))=0,"PASS","WARN")</f>
        <v>PASS</v>
      </c>
      <c r="C17" s="17" t="s">
        <v>274</v>
      </c>
    </row>
    <row r="18" customFormat="false" ht="15" hidden="false" customHeight="false" outlineLevel="0" collapsed="false">
      <c r="A18" s="11" t="s">
        <v>275</v>
      </c>
      <c r="B18" s="4" t="str">
        <f aca="false">IF(SUMPRODUCT(--ISERROR(Monthly!$C$4:$AL$81))+SUMPRODUCT(--ISERROR(Headcount!$C$4:$AL$7))+SUMPRODUCT(--ISERROR('P&amp;L'!$B$3:$D$22))+SUMPRODUCT(--ISERROR('Cash Flow'!$B$3:$D$18))+SUMPRODUCT(--ISERROR('Balance Sheet'!$B$3:$D$17))+SUMPRODUCT(--ISERROR(Dashboard!$B$25:$D$40))+SUMPRODUCT(--ISERROR(Returns!$A$3:$E$51))=0,"PASS","FAIL")</f>
        <v>PASS</v>
      </c>
      <c r="C18" s="17" t="s">
        <v>276</v>
      </c>
    </row>
    <row r="19" customFormat="false" ht="15" hidden="false" customHeight="false" outlineLevel="0" collapsed="false">
      <c r="A19" s="11" t="s">
        <v>277</v>
      </c>
      <c r="B19" s="4" t="str">
        <f aca="false">IF(SUMPRODUCT(--(ABS(Monthly!$C$81:$AL$81)&gt;0.5))=0,"PASS","FAIL")</f>
        <v>PASS</v>
      </c>
      <c r="C19" s="17" t="s">
        <v>278</v>
      </c>
    </row>
    <row r="20" customFormat="false" ht="15" hidden="false" customHeight="false" outlineLevel="0" collapsed="false">
      <c r="A20" s="11" t="s">
        <v>279</v>
      </c>
      <c r="B20" s="4" t="str">
        <f aca="false">IF(MIN(Monthly!$C$71:$AL$71)&gt;=0,"PASS","WARN")</f>
        <v>PASS</v>
      </c>
      <c r="C20" s="17" t="s">
        <v>280</v>
      </c>
    </row>
    <row r="22" customFormat="false" ht="15" hidden="false" customHeight="false" outlineLevel="0" collapsed="false">
      <c r="A22" s="4" t="s">
        <v>281</v>
      </c>
      <c r="B22" s="38" t="str">
        <f aca="false">IF(COUNTIF(B4:B20,"FAIL")&gt;0,"FAIL",IF(COUNTIF(B4:B20,"WARN")&gt;0,"PASS WITH WARNINGS","PASS"))</f>
        <v>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2026-10-18T05:38:47Z</dcterms:created>
  <dc:creator>openpyxl</dc:creator>
  <dc:description/>
  <dc:language>en-US</dc:language>
  <cp:lastModifiedBy/>
  <dcterms:modified xsi:type="dcterms:W3CDTF">2026-10-18T05:38:47Z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