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Inputs" sheetId="2" state="visible" r:id="rId4"/>
    <sheet name="Monthly" sheetId="3" state="visible" r:id="rId5"/>
    <sheet name="P&amp;L" sheetId="4" state="visible" r:id="rId6"/>
    <sheet name="Cash Flow" sheetId="5" state="visible" r:id="rId7"/>
    <sheet name="Balance Sheet" sheetId="6" state="visible" r:id="rId8"/>
    <sheet name="Headcount" sheetId="7" state="visible" r:id="rId9"/>
    <sheet name="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<sst xmlns="http://schemas.openxmlformats.org/spreadsheetml/2006/main" count="432" uniqueCount="264">
  <si>
    <t xml:space="preserve">Home services financial model (growing)</t>
  </si>
  <si>
    <t xml:space="preserve">Change the scenario in B4 (1 = Low, 2 = Base, 3 = High); every sheet recalculates.</t>
  </si>
  <si>
    <t xml:space="preserve">Scenario selector</t>
  </si>
  <si>
    <t xml:space="preserve">Key metrics</t>
  </si>
  <si>
    <t xml:space="preserve">Year 1</t>
  </si>
  <si>
    <t xml:space="preserve">Year 2</t>
  </si>
  <si>
    <t xml:space="preserve">Year 3</t>
  </si>
  <si>
    <t xml:space="preserve">Revenue</t>
  </si>
  <si>
    <t xml:space="preserve">Gross profit</t>
  </si>
  <si>
    <t xml:space="preserve">EBITDA</t>
  </si>
  <si>
    <t xml:space="preserve">EBITDA margin</t>
  </si>
  <si>
    <t xml:space="preserve">Net income</t>
  </si>
  <si>
    <t xml:space="preserve">Year-end cash</t>
  </si>
  <si>
    <t xml:space="preserve">Year-end loan balance</t>
  </si>
  <si>
    <t xml:space="preserve">Total FTE (year end)</t>
  </si>
  <si>
    <t xml:space="preserve">Health</t>
  </si>
  <si>
    <t xml:space="preserve">First month with positive EBITDA</t>
  </si>
  <si>
    <t xml:space="preserve">Lowest cash balance</t>
  </si>
  <si>
    <t xml:space="preserve">Month of lowest cash</t>
  </si>
  <si>
    <t xml:space="preserve">Model checks</t>
  </si>
  <si>
    <t xml:space="preserve">Home services metrics</t>
  </si>
  <si>
    <t xml:space="preserve">Year #</t>
  </si>
  <si>
    <t xml:space="preserve">Field technicians (FTE, year end)</t>
  </si>
  <si>
    <t xml:space="preserve">Job capacity</t>
  </si>
  <si>
    <t xml:space="preserve">Jobs demanded</t>
  </si>
  <si>
    <t xml:space="preserve">Jobs completed</t>
  </si>
  <si>
    <t xml:space="preserve">Technician utilisation (jobs ÷ capacity)</t>
  </si>
  <si>
    <t xml:space="preserve">Jobs turned away (demand above capacity)</t>
  </si>
  <si>
    <t xml:space="preserve">Jobs booked from marketing leads</t>
  </si>
  <si>
    <t xml:space="preserve">Marketing spend</t>
  </si>
  <si>
    <t xml:space="preserve">Marketing cost per booked job</t>
  </si>
  <si>
    <t xml:space="preserve">Job revenue</t>
  </si>
  <si>
    <t xml:space="preserve">Average revenue per job</t>
  </si>
  <si>
    <t xml:space="preserve">Revenue per technician (year-end FTE)</t>
  </si>
  <si>
    <t xml:space="preserve">Maintenance plan members (year end)</t>
  </si>
  <si>
    <t xml:space="preserve">Maintenance plan revenue</t>
  </si>
  <si>
    <t xml:space="preserve">Plans share of revenue</t>
  </si>
  <si>
    <t xml:space="preserve">Gross margin</t>
  </si>
  <si>
    <t xml:space="preserve">Gross profit per job (all gross profit ÷ jobs)</t>
  </si>
  <si>
    <t xml:space="preserve">Inputs — Low / Base / High</t>
  </si>
  <si>
    <t xml:space="preserve">Illustrative assumptions — replace them with your own numbers.</t>
  </si>
  <si>
    <t xml:space="preserve">Driver</t>
  </si>
  <si>
    <t xml:space="preserve">Low</t>
  </si>
  <si>
    <t xml:space="preserve">Base</t>
  </si>
  <si>
    <t xml:space="preserve">High</t>
  </si>
  <si>
    <t xml:space="preserve">Active</t>
  </si>
  <si>
    <t xml:space="preserve">Unit</t>
  </si>
  <si>
    <t xml:space="preserve">Note</t>
  </si>
  <si>
    <t xml:space="preserve">Technician capacity</t>
  </si>
  <si>
    <t xml:space="preserve">Jobs per technician per working day</t>
  </si>
  <si>
    <t xml:space="preserve">jobs</t>
  </si>
  <si>
    <t xml:space="preserve">Low ≤ Base ≤ High</t>
  </si>
  <si>
    <t xml:space="preserve">Working days per month</t>
  </si>
  <si>
    <t xml:space="preserve">days</t>
  </si>
  <si>
    <t xml:space="preserve">Demand</t>
  </si>
  <si>
    <t xml:space="preserve">Marketing budget per month</t>
  </si>
  <si>
    <t xml:space="preserve">$</t>
  </si>
  <si>
    <t xml:space="preserve">Marketing budget growth per year</t>
  </si>
  <si>
    <t xml:space="preserve">%</t>
  </si>
  <si>
    <t xml:space="preserve">Cost per lead</t>
  </si>
  <si>
    <t xml:space="preserve">Low ≥ Base ≥ High (lower is better)</t>
  </si>
  <si>
    <t xml:space="preserve">Leads booked as jobs</t>
  </si>
  <si>
    <t xml:space="preserve">Repeat &amp; referral jobs per month (year 1)</t>
  </si>
  <si>
    <t xml:space="preserve">Repeat &amp; referral jobs growth per year</t>
  </si>
  <si>
    <t xml:space="preserve">Busy-season uplift, June–August (monthly models)</t>
  </si>
  <si>
    <t xml:space="preserve">Prices</t>
  </si>
  <si>
    <t xml:space="preserve">Average revenue per job (year 1)</t>
  </si>
  <si>
    <t xml:space="preserve">Price increase per year</t>
  </si>
  <si>
    <t xml:space="preserve">Maintenance plans</t>
  </si>
  <si>
    <t xml:space="preserve">Maintenance plan members (year-1 average)</t>
  </si>
  <si>
    <t xml:space="preserve">#</t>
  </si>
  <si>
    <t xml:space="preserve">Plan members growth per year</t>
  </si>
  <si>
    <t xml:space="preserve">Plan fee per member per month (year 1)</t>
  </si>
  <si>
    <t xml:space="preserve">Cost of plan visits, % of plan fees</t>
  </si>
  <si>
    <t xml:space="preserve">Costs</t>
  </si>
  <si>
    <t xml:space="preserve">Materials &amp; parts, % of job revenue</t>
  </si>
  <si>
    <t xml:space="preserve">Vehicle per technician per month (lease, fuel, upkeep)</t>
  </si>
  <si>
    <t xml:space="preserve">Field software &amp; phone per technician per month</t>
  </si>
  <si>
    <t xml:space="preserve">Insurance &amp; licences per month</t>
  </si>
  <si>
    <t xml:space="preserve">Shop / office rent per month</t>
  </si>
  <si>
    <t xml:space="preserve">Other G&amp;A per month (accounting, legal, bank)</t>
  </si>
  <si>
    <t xml:space="preserve">Card processing fees, % of revenue</t>
  </si>
  <si>
    <t xml:space="preserve">Start-up capex (shop, equipment)</t>
  </si>
  <si>
    <t xml:space="preserve">Van &amp; tools per technician added</t>
  </si>
  <si>
    <t xml:space="preserve">Technicians already equipped at start (own vans &amp; tools)</t>
  </si>
  <si>
    <t xml:space="preserve">FTE</t>
  </si>
  <si>
    <t xml:space="preserve">Headcount</t>
  </si>
  <si>
    <t xml:space="preserve">Field technicians: headcount (FTE)</t>
  </si>
  <si>
    <t xml:space="preserve">Field technicians: salary per FTE per year</t>
  </si>
  <si>
    <t xml:space="preserve">Field technicians: headcount growth per year</t>
  </si>
  <si>
    <t xml:space="preserve">Field technicians: first month on payroll</t>
  </si>
  <si>
    <t xml:space="preserve">month #</t>
  </si>
  <si>
    <t xml:space="preserve">Dispatch &amp; office: headcount (FTE)</t>
  </si>
  <si>
    <t xml:space="preserve">Dispatch &amp; office: salary per FTE per year</t>
  </si>
  <si>
    <t xml:space="preserve">Dispatch &amp; office: headcount growth per year</t>
  </si>
  <si>
    <t xml:space="preserve">Dispatch &amp; office: first month on payroll</t>
  </si>
  <si>
    <t xml:space="preserve">Payroll taxes &amp; benefits, % of salary</t>
  </si>
  <si>
    <t xml:space="preserve">Wage growth per year</t>
  </si>
  <si>
    <t xml:space="preserve">Funding</t>
  </si>
  <si>
    <t xml:space="preserve">Equity raised at start</t>
  </si>
  <si>
    <t xml:space="preserve">Loan drawn at start</t>
  </si>
  <si>
    <t xml:space="preserve">Loan interest rate per year</t>
  </si>
  <si>
    <t xml:space="preserve">Loan repayment term</t>
  </si>
  <si>
    <t xml:space="preserve">years</t>
  </si>
  <si>
    <t xml:space="preserve">Working capital</t>
  </si>
  <si>
    <t xml:space="preserve">Customer payment terms (receivable days)</t>
  </si>
  <si>
    <t xml:space="preserve">Inventory held (days of COGS)</t>
  </si>
  <si>
    <t xml:space="preserve">Supplier payment terms (payable days)</t>
  </si>
  <si>
    <t xml:space="preserve">Tax &amp; depreciation</t>
  </si>
  <si>
    <t xml:space="preserve">Depreciation period for capex</t>
  </si>
  <si>
    <t xml:space="preserve">Income tax rate</t>
  </si>
  <si>
    <t xml:space="preserve">Legend: blue = input you can change · black = formula · green = link to another sheet · yellow = scenario selector. Column E follows the selected scenario.</t>
  </si>
  <si>
    <t xml:space="preserve">Monthly projection</t>
  </si>
  <si>
    <t xml:space="preserve">$ unless stated; costs shown as negatives. Every period uses the same formula.</t>
  </si>
  <si>
    <t xml:space="preserve">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</si>
  <si>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</si>
  <si>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</si>
  <si>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</si>
  <si>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</si>
  <si>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</si>
  <si>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</si>
  <si>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</si>
  <si>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</si>
  <si>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</si>
  <si>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</si>
  <si>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</si>
  <si>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</si>
  <si>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</si>
  <si>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</si>
  <si>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</si>
  <si>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</si>
  <si>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</si>
  <si>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</si>
  <si>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M19</t>
  </si>
  <si>
    <t xml:space="preserve">M20</t>
  </si>
  <si>
    <t xml:space="preserve">M21</t>
  </si>
  <si>
    <t xml:space="preserve">M22</t>
  </si>
  <si>
    <t xml:space="preserve">M23</t>
  </si>
  <si>
    <t xml:space="preserve">M24</t>
  </si>
  <si>
    <t xml:space="preserve">M25</t>
  </si>
  <si>
    <t xml:space="preserve">M26</t>
  </si>
  <si>
    <t xml:space="preserve">M27</t>
  </si>
  <si>
    <t xml:space="preserve">M28</t>
  </si>
  <si>
    <t xml:space="preserve">M29</t>
  </si>
  <si>
    <t xml:space="preserve">M30</t>
  </si>
  <si>
    <t xml:space="preserve">M31</t>
  </si>
  <si>
    <t xml:space="preserve">M32</t>
  </si>
  <si>
    <t xml:space="preserve">M33</t>
  </si>
  <si>
    <t xml:space="preserve">M34</t>
  </si>
  <si>
    <t xml:space="preserve">M35</t>
  </si>
  <si>
    <t xml:space="preserve">M36</t>
  </si>
  <si>
    <t xml:space="preserve">Period #</t>
  </si>
  <si>
    <t xml:space="preserve">Jobs</t>
  </si>
  <si>
    <t xml:space="preserve">Field technicians (FTE)</t>
  </si>
  <si>
    <t xml:space="preserve">Job capacity (technicians × jobs per day × working days)</t>
  </si>
  <si>
    <t xml:space="preserve">Season factor (June–August busy season)</t>
  </si>
  <si>
    <t xml:space="preserve">Leads from marketing</t>
  </si>
  <si>
    <t xml:space="preserve">Jobs booked from leads</t>
  </si>
  <si>
    <t xml:space="preserve">Repeat &amp; referral jobs</t>
  </si>
  <si>
    <t xml:space="preserve">Jobs completed (demand capped by capacity)</t>
  </si>
  <si>
    <t xml:space="preserve">Maintenance plan members (average)</t>
  </si>
  <si>
    <t xml:space="preserve">Cost of delivery</t>
  </si>
  <si>
    <t xml:space="preserve">Technician payroll</t>
  </si>
  <si>
    <t xml:space="preserve">Materials &amp; parts</t>
  </si>
  <si>
    <t xml:space="preserve">Vehicles</t>
  </si>
  <si>
    <t xml:space="preserve">Plan visits</t>
  </si>
  <si>
    <t xml:space="preserve">Operating expenses</t>
  </si>
  <si>
    <t xml:space="preserve">Dispatch, office &amp; other payroll</t>
  </si>
  <si>
    <t xml:space="preserve">Marketing</t>
  </si>
  <si>
    <t xml:space="preserve">Field software &amp; phones</t>
  </si>
  <si>
    <t xml:space="preserve">Insurance &amp; licences</t>
  </si>
  <si>
    <t xml:space="preserve">Shop / office rent</t>
  </si>
  <si>
    <t xml:space="preserve">Other G&amp;A</t>
  </si>
  <si>
    <t xml:space="preserve">Card processing fees</t>
  </si>
  <si>
    <t xml:space="preserve">Total operating expenses</t>
  </si>
  <si>
    <t xml:space="preserve">Profit after depreciation, interest, tax</t>
  </si>
  <si>
    <t xml:space="preserve">EBIT</t>
  </si>
  <si>
    <t xml:space="preserve">Interest on loan (average balance after drawdown)</t>
  </si>
  <si>
    <t xml:space="preserve">Pre-tax income</t>
  </si>
  <si>
    <t xml:space="preserve">Helper: cumulative pre-tax income</t>
  </si>
  <si>
    <t xml:space="preserve">Helper: cumulative taxable income (losses carried forward)</t>
  </si>
  <si>
    <t xml:space="preserve">Income tax</t>
  </si>
  <si>
    <t xml:space="preserve">Fixed assets &amp; capital spending</t>
  </si>
  <si>
    <t xml:space="preserve">Capital spending (start-up + van &amp; tools per technician added)</t>
  </si>
  <si>
    <t xml:space="preserve">Fixed assets at cost</t>
  </si>
  <si>
    <t xml:space="preserve">Depreciation</t>
  </si>
  <si>
    <t xml:space="preserve">Accumulated depreciation</t>
  </si>
  <si>
    <t xml:space="preserve">Net fixed assets</t>
  </si>
  <si>
    <t xml:space="preserve">Debt</t>
  </si>
  <si>
    <t xml:space="preserve">Loan — opening balance</t>
  </si>
  <si>
    <t xml:space="preserve">Loan drawdown</t>
  </si>
  <si>
    <t xml:space="preserve">Loan repayment</t>
  </si>
  <si>
    <t xml:space="preserve">Loan — closing balance</t>
  </si>
  <si>
    <t xml:space="preserve">Accounts receivable</t>
  </si>
  <si>
    <t xml:space="preserve">Inventory</t>
  </si>
  <si>
    <t xml:space="preserve">Accounts payable</t>
  </si>
  <si>
    <t xml:space="preserve">(Increase) / decrease in receivables</t>
  </si>
  <si>
    <t xml:space="preserve">(Increase) / decrease in inventory</t>
  </si>
  <si>
    <t xml:space="preserve">Increase / (decrease) in payables</t>
  </si>
  <si>
    <t xml:space="preserve">Cash flow</t>
  </si>
  <si>
    <t xml:space="preserve">Operating cash flow</t>
  </si>
  <si>
    <t xml:space="preserve">Investing cash flow (capex)</t>
  </si>
  <si>
    <t xml:space="preserve">Equity raised</t>
  </si>
  <si>
    <t xml:space="preserve">Financing cash flow</t>
  </si>
  <si>
    <t xml:space="preserve">Net cash flow</t>
  </si>
  <si>
    <t xml:space="preserve">Opening cash</t>
  </si>
  <si>
    <t xml:space="preserve">Closing cash</t>
  </si>
  <si>
    <t xml:space="preserve">Helper: EBITDA positive (1/0)</t>
  </si>
  <si>
    <t xml:space="preserve">Balance sheet</t>
  </si>
  <si>
    <t xml:space="preserve">Paid-in capital</t>
  </si>
  <si>
    <t xml:space="preserve">Retained earnings</t>
  </si>
  <si>
    <t xml:space="preserve">Total assets</t>
  </si>
  <si>
    <t xml:space="preserve">Total liabilities</t>
  </si>
  <si>
    <t xml:space="preserve">Total equity</t>
  </si>
  <si>
    <t xml:space="preserve">Total liabilities &amp; equity</t>
  </si>
  <si>
    <t xml:space="preserve">Check: assets − liabilities − equity</t>
  </si>
  <si>
    <t xml:space="preserve">Annual profit &amp; loss</t>
  </si>
  <si>
    <t xml:space="preserve">Rolled up from the period detail (SUMIF on the year row; balances at year end).</t>
  </si>
  <si>
    <t xml:space="preserve">Interest</t>
  </si>
  <si>
    <t xml:space="preserve">Net margin</t>
  </si>
  <si>
    <t xml:space="preserve">Annual cash flow statement</t>
  </si>
  <si>
    <t xml:space="preserve">Add back depreciation</t>
  </si>
  <si>
    <t xml:space="preserve">Capital spending</t>
  </si>
  <si>
    <t xml:space="preserve">Net change in cash</t>
  </si>
  <si>
    <t xml:space="preserve">Balance sheet at year end</t>
  </si>
  <si>
    <t xml:space="preserve">Cash</t>
  </si>
  <si>
    <t xml:space="preserve">Loan</t>
  </si>
  <si>
    <t xml:space="preserve">Check: assets − liabilities − equity (must be 0)</t>
  </si>
  <si>
    <t xml:space="preserve">Headcount &amp; payroll</t>
  </si>
  <si>
    <t xml:space="preserve">Headcount (FTE)</t>
  </si>
  <si>
    <t xml:space="preserve">Field technicians — FTE</t>
  </si>
  <si>
    <t xml:space="preserve">Dispatch &amp; office — FTE</t>
  </si>
  <si>
    <t xml:space="preserve">Total FTE</t>
  </si>
  <si>
    <t xml:space="preserve">Payroll cost (salary + taxes &amp; benefits)</t>
  </si>
  <si>
    <t xml:space="preserve">Field technicians — payroll cost</t>
  </si>
  <si>
    <t xml:space="preserve">Dispatch &amp; office — payroll cost</t>
  </si>
  <si>
    <t xml:space="preserve">Total payroll</t>
  </si>
  <si>
    <t xml:space="preserve">Live formulas: they re-run every time an input changes.</t>
  </si>
  <si>
    <t xml:space="preserve">Check</t>
  </si>
  <si>
    <t xml:space="preserve">Result</t>
  </si>
  <si>
    <t xml:space="preserve">What it tests</t>
  </si>
  <si>
    <t xml:space="preserve">Annual revenue ties to period detail</t>
  </si>
  <si>
    <t xml:space="preserve">Sum of annual revenue equals the sum of every period</t>
  </si>
  <si>
    <t xml:space="preserve">Annual net income ties to period detail</t>
  </si>
  <si>
    <t xml:space="preserve">Sum of annual net income equals the sum of every period</t>
  </si>
  <si>
    <t xml:space="preserve">EBITDA reconciliation</t>
  </si>
  <si>
    <t xml:space="preserve">EBITDA = gross profit + operating expenses (costs are negative)</t>
  </si>
  <si>
    <t xml:space="preserve">Cash roll-forward</t>
  </si>
  <si>
    <t xml:space="preserve">Closing cash = all net cash flows since the start (opening cash is zero)</t>
  </si>
  <si>
    <t xml:space="preserve">Scenario selector valid</t>
  </si>
  <si>
    <t xml:space="preserve">Dashboard!B4 is 1, 2 or 3</t>
  </si>
  <si>
    <t xml:space="preserve">Scenario ordering of drivers</t>
  </si>
  <si>
    <t xml:space="preserve">Low / Base / High ordered the right way for every growth and cost driver</t>
  </si>
  <si>
    <t xml:space="preserve">Gross margin within 0–100%</t>
  </si>
  <si>
    <t xml:space="preserve">Gross margin never negative or above 100%</t>
  </si>
  <si>
    <t xml:space="preserve">Loan balance never negative</t>
  </si>
  <si>
    <t xml:space="preserve">Repayments never exceed the loan</t>
  </si>
  <si>
    <t xml:space="preserve">No error values</t>
  </si>
  <si>
    <t xml:space="preserve">No error values (divide-by-zero, broken references) on any calculation sheet</t>
  </si>
  <si>
    <t xml:space="preserve">Balance sheet balances every period</t>
  </si>
  <si>
    <t xml:space="preserve">Assets = liabilities + equity in every period</t>
  </si>
  <si>
    <t xml:space="preserve">Funding sufficient (cash ≥ 0)</t>
  </si>
  <si>
    <t xml:space="preserve">Business warning, not an error: cash dips below zero in this scenario</t>
  </si>
  <si>
    <t xml:space="preserve">Overall verdict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</si>
</sst>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&quot;($&quot;#,##0\);\-"/>
    <numFmt numFmtId="166" formatCode="0.0%;\(0.0%\);\-"/>
    <numFmt numFmtId="167" formatCode="#,##0.0;\(#,##0.0\);\-"/>
    <numFmt numFmtId="168" formatCode="0"/>
    <numFmt numFmtId="169" formatCode="@"/>
    <numFmt numFmtId="170" formatCode="#,##0;\(#,##0\);\-"/>
    <numFmt numFmtId="171" formatCode="\$#,##0.00;&quot;($&quot;#,##0.00\)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C55A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9"/>
      <color rgb="FF6B728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sz val="9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2F5597"/>
        <bgColor rgb="FF1F3864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B7280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0</v>
      </c>
      <c r="B1" s="2"/>
      <c r="C1" s="2"/>
      <c r="D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 t="n">
        <v>2</v>
      </c>
      <c r="C4" s="6" t="str">
        <f aca="false">CHOOSE(B4,"Low","Base","High")</f>
        <v>Base</v>
      </c>
    </row>
    <row r="6" customFormat="false" ht="15" hidden="false" customHeight="false" outlineLevel="0" collapsed="false">
      <c r="A6" s="7" t="s">
        <v>3</v>
      </c>
      <c r="B6" s="8"/>
      <c r="C6" s="8"/>
      <c r="D6" s="8"/>
    </row>
    <row r="7" customFormat="false" ht="15" hidden="false" customHeight="false" outlineLevel="0" collapsed="false">
      <c r="B7" s="9" t="s">
        <v>4</v>
      </c>
      <c r="C7" s="9" t="s">
        <v>5</v>
      </c>
      <c r="D7" s="9" t="s">
        <v>6</v>
      </c>
    </row>
    <row r="8" customFormat="false" ht="15" hidden="false" customHeight="false" outlineLevel="0" collapsed="false">
      <c r="A8" s="4" t="s">
        <v>7</v>
      </c>
      <c r="B8" s="10" t="n">
        <f aca="false">'P&amp;L'!B5</f>
        <v>1710030</v>
      </c>
      <c r="C8" s="10" t="n">
        <f aca="false">'P&amp;L'!C5</f>
        <v>2015484.945</v>
      </c>
      <c r="D8" s="10" t="n">
        <f aca="false">'P&amp;L'!D5</f>
        <v>2376160.7103285</v>
      </c>
    </row>
    <row r="9" customFormat="false" ht="15" hidden="false" customHeight="false" outlineLevel="0" collapsed="false">
      <c r="A9" s="11" t="s">
        <v>8</v>
      </c>
      <c r="B9" s="10" t="n">
        <f aca="false">'P&amp;L'!B7</f>
        <v>659822.5</v>
      </c>
      <c r="C9" s="10" t="n">
        <f aca="false">'P&amp;L'!C7</f>
        <v>795749.54875</v>
      </c>
      <c r="D9" s="10" t="n">
        <f aca="false">'P&amp;L'!D7</f>
        <v>958942.464010375</v>
      </c>
    </row>
    <row r="10" customFormat="false" ht="15" hidden="false" customHeight="false" outlineLevel="0" collapsed="false">
      <c r="A10" s="4" t="s">
        <v>9</v>
      </c>
      <c r="B10" s="10" t="n">
        <f aca="false">'P&amp;L'!B17</f>
        <v>266071.69</v>
      </c>
      <c r="C10" s="10" t="n">
        <f aca="false">'P&amp;L'!C17</f>
        <v>362576.355235</v>
      </c>
      <c r="D10" s="10" t="n">
        <f aca="false">'P&amp;L'!D17</f>
        <v>480449.961331505</v>
      </c>
    </row>
    <row r="11" customFormat="false" ht="15" hidden="false" customHeight="false" outlineLevel="0" collapsed="false">
      <c r="A11" s="11" t="s">
        <v>10</v>
      </c>
      <c r="B11" s="12" t="n">
        <f aca="false">'P&amp;L'!B18</f>
        <v>0.155594749799711</v>
      </c>
      <c r="C11" s="12" t="n">
        <f aca="false">'P&amp;L'!C18</f>
        <v>0.179895342872432</v>
      </c>
      <c r="D11" s="12" t="n">
        <f aca="false">'P&amp;L'!D18</f>
        <v>0.202195903350781</v>
      </c>
    </row>
    <row r="12" customFormat="false" ht="15" hidden="false" customHeight="false" outlineLevel="0" collapsed="false">
      <c r="A12" s="11" t="s">
        <v>11</v>
      </c>
      <c r="B12" s="10" t="n">
        <f aca="false">'P&amp;L'!B24</f>
        <v>192564.273988889</v>
      </c>
      <c r="C12" s="10" t="n">
        <f aca="false">'P&amp;L'!C24</f>
        <v>265979.587302317</v>
      </c>
      <c r="D12" s="10" t="n">
        <f aca="false">'P&amp;L'!D24</f>
        <v>355570.648118556</v>
      </c>
    </row>
    <row r="13" customFormat="false" ht="15" hidden="false" customHeight="false" outlineLevel="0" collapsed="false">
      <c r="A13" s="11" t="s">
        <v>12</v>
      </c>
      <c r="B13" s="10" t="n">
        <f aca="false">'Balance Sheet'!B5</f>
        <v>478877.468433333</v>
      </c>
      <c r="C13" s="10" t="n">
        <f aca="false">'Balance Sheet'!C5</f>
        <v>667284.090527316</v>
      </c>
      <c r="D13" s="10" t="n">
        <f aca="false">'Balance Sheet'!D5</f>
        <v>948820.158073935</v>
      </c>
    </row>
    <row r="14" customFormat="false" ht="15" hidden="false" customHeight="false" outlineLevel="0" collapsed="false">
      <c r="A14" s="11" t="s">
        <v>13</v>
      </c>
      <c r="B14" s="10" t="n">
        <f aca="false">'Balance Sheet'!B11</f>
        <v>204166.666666667</v>
      </c>
      <c r="C14" s="10" t="n">
        <f aca="false">'Balance Sheet'!C11</f>
        <v>154166.666666667</v>
      </c>
      <c r="D14" s="10" t="n">
        <f aca="false">'Balance Sheet'!D11</f>
        <v>104166.666666667</v>
      </c>
    </row>
    <row r="15" customFormat="false" ht="15" hidden="false" customHeight="false" outlineLevel="0" collapsed="false">
      <c r="A15" s="11" t="s">
        <v>14</v>
      </c>
      <c r="B15" s="13" t="n">
        <f aca="false">INDEX(Headcount!$C$10:$AL$10,12)</f>
        <v>9</v>
      </c>
      <c r="C15" s="13" t="n">
        <f aca="false">INDEX(Headcount!$C$10:$AL$10,24)</f>
        <v>10.04</v>
      </c>
      <c r="D15" s="13" t="n">
        <f aca="false">INDEX(Headcount!$C$10:$AL$10,36)</f>
        <v>11.2008</v>
      </c>
    </row>
    <row r="17" customFormat="false" ht="15" hidden="false" customHeight="false" outlineLevel="0" collapsed="false">
      <c r="A17" s="7" t="s">
        <v>15</v>
      </c>
      <c r="B17" s="8"/>
      <c r="C17" s="8"/>
      <c r="D17" s="8"/>
    </row>
    <row r="18" customFormat="false" ht="15" hidden="false" customHeight="false" outlineLevel="0" collapsed="false">
      <c r="A18" s="11" t="s">
        <v>16</v>
      </c>
      <c r="B18" s="14" t="n">
        <f aca="false">IFERROR(MATCH(1,Monthly!$C$81:$AL$81,0),"Not within horizon")</f>
        <v>1</v>
      </c>
    </row>
    <row r="19" customFormat="false" ht="15" hidden="false" customHeight="false" outlineLevel="0" collapsed="false">
      <c r="A19" s="11" t="s">
        <v>17</v>
      </c>
      <c r="B19" s="15" t="n">
        <f aca="false">MIN(Monthly!$C$80:$AL$80)</f>
        <v>339238.115344444</v>
      </c>
    </row>
    <row r="20" customFormat="false" ht="15" hidden="false" customHeight="false" outlineLevel="0" collapsed="false">
      <c r="A20" s="11" t="s">
        <v>18</v>
      </c>
      <c r="B20" s="14" t="n">
        <f aca="false">MATCH(B19,Monthly!$C$80:$AL$80,0)</f>
        <v>1</v>
      </c>
    </row>
    <row r="21" customFormat="false" ht="15" hidden="false" customHeight="false" outlineLevel="0" collapsed="false">
      <c r="A21" s="11" t="s">
        <v>19</v>
      </c>
      <c r="B21" s="16" t="str">
        <f aca="false">Checks!B16</f>
        <v>PASS</v>
      </c>
    </row>
    <row r="24" customFormat="false" ht="15" hidden="false" customHeight="false" outlineLevel="0" collapsed="false">
      <c r="A24" s="7" t="s">
        <v>20</v>
      </c>
      <c r="B24" s="8"/>
      <c r="C24" s="8"/>
      <c r="D24" s="8"/>
    </row>
    <row r="25" customFormat="false" ht="15" hidden="false" customHeight="false" outlineLevel="0" collapsed="false">
      <c r="A25" s="17" t="s">
        <v>21</v>
      </c>
      <c r="B25" s="17" t="n">
        <v>1</v>
      </c>
      <c r="C25" s="17" t="n">
        <v>2</v>
      </c>
      <c r="D25" s="17" t="n">
        <v>3</v>
      </c>
    </row>
    <row r="26" customFormat="false" ht="15" hidden="false" customHeight="false" outlineLevel="0" collapsed="false">
      <c r="B26" s="9" t="s">
        <v>4</v>
      </c>
      <c r="C26" s="9" t="s">
        <v>5</v>
      </c>
      <c r="D26" s="9" t="s">
        <v>6</v>
      </c>
    </row>
    <row r="27" customFormat="false" ht="15" hidden="false" customHeight="false" outlineLevel="0" collapsed="false">
      <c r="A27" s="4" t="s">
        <v>22</v>
      </c>
      <c r="B27" s="18" t="n">
        <f aca="false">INDEX(Monthly!$C$8:$AL$8,B$25*12)</f>
        <v>7</v>
      </c>
      <c r="C27" s="18" t="n">
        <f aca="false">INDEX(Monthly!$C$8:$AL$8,C$25*12)</f>
        <v>7.84</v>
      </c>
      <c r="D27" s="18" t="n">
        <f aca="false">INDEX(Monthly!$C$8:$AL$8,D$25*12)</f>
        <v>8.7808</v>
      </c>
    </row>
    <row r="28" customFormat="false" ht="15" hidden="false" customHeight="false" outlineLevel="0" collapsed="false">
      <c r="A28" s="11" t="s">
        <v>23</v>
      </c>
      <c r="B28" s="19" t="n">
        <f aca="false">SUMIF(Monthly!$C$5:$AL$5,B$25,Monthly!$C$9:$AL$9)</f>
        <v>4410</v>
      </c>
      <c r="C28" s="19" t="n">
        <f aca="false">SUMIF(Monthly!$C$5:$AL$5,C$25,Monthly!$C$9:$AL$9)</f>
        <v>4939.2</v>
      </c>
      <c r="D28" s="19" t="n">
        <f aca="false">SUMIF(Monthly!$C$5:$AL$5,D$25,Monthly!$C$9:$AL$9)</f>
        <v>5531.904</v>
      </c>
    </row>
    <row r="29" customFormat="false" ht="15" hidden="false" customHeight="false" outlineLevel="0" collapsed="false">
      <c r="A29" s="11" t="s">
        <v>24</v>
      </c>
      <c r="B29" s="19" t="n">
        <f aca="false">SUMIF(Monthly!$C$5:$AL$5,B$25,Monthly!$C$14:$AL$14)</f>
        <v>3732</v>
      </c>
      <c r="C29" s="19" t="n">
        <f aca="false">SUMIF(Monthly!$C$5:$AL$5,C$25,Monthly!$C$14:$AL$14)</f>
        <v>4291.8</v>
      </c>
      <c r="D29" s="19" t="n">
        <f aca="false">SUMIF(Monthly!$C$5:$AL$5,D$25,Monthly!$C$14:$AL$14)</f>
        <v>4935.57</v>
      </c>
    </row>
    <row r="30" customFormat="false" ht="15" hidden="false" customHeight="false" outlineLevel="0" collapsed="false">
      <c r="A30" s="4" t="s">
        <v>25</v>
      </c>
      <c r="B30" s="20" t="n">
        <f aca="false">SUMIF(Monthly!$C$5:$AL$5,B$25,Monthly!$C$15:$AL$15)</f>
        <v>3668.25</v>
      </c>
      <c r="C30" s="20" t="n">
        <f aca="false">SUMIF(Monthly!$C$5:$AL$5,C$25,Monthly!$C$15:$AL$15)</f>
        <v>4185.4125</v>
      </c>
      <c r="D30" s="20" t="n">
        <f aca="false">SUMIF(Monthly!$C$5:$AL$5,D$25,Monthly!$C$15:$AL$15)</f>
        <v>4776.180375</v>
      </c>
    </row>
    <row r="31" customFormat="false" ht="15" hidden="false" customHeight="false" outlineLevel="0" collapsed="false">
      <c r="A31" s="11" t="s">
        <v>26</v>
      </c>
      <c r="B31" s="21" t="n">
        <f aca="false">IF(B28=0,0,B30/B28)</f>
        <v>0.831802721088435</v>
      </c>
      <c r="C31" s="21" t="n">
        <f aca="false">IF(C28=0,0,C30/C28)</f>
        <v>0.847386722546161</v>
      </c>
      <c r="D31" s="21" t="n">
        <f aca="false">IF(D28=0,0,D30/D28)</f>
        <v>0.863388152614362</v>
      </c>
    </row>
    <row r="32" customFormat="false" ht="15" hidden="false" customHeight="false" outlineLevel="0" collapsed="false">
      <c r="A32" s="11" t="s">
        <v>27</v>
      </c>
      <c r="B32" s="19" t="n">
        <f aca="false">B29-B30</f>
        <v>63.75</v>
      </c>
      <c r="C32" s="19" t="n">
        <f aca="false">C29-C30</f>
        <v>106.3875</v>
      </c>
      <c r="D32" s="19" t="n">
        <f aca="false">D29-D30</f>
        <v>159.389625</v>
      </c>
    </row>
    <row r="33" customFormat="false" ht="15" hidden="false" customHeight="false" outlineLevel="0" collapsed="false">
      <c r="A33" s="11" t="s">
        <v>28</v>
      </c>
      <c r="B33" s="19" t="n">
        <f aca="false">SUMIF(Monthly!$C$5:$AL$5,B$25,Monthly!$C$12:$AL$12)</f>
        <v>972</v>
      </c>
      <c r="C33" s="19" t="n">
        <f aca="false">SUMIF(Monthly!$C$5:$AL$5,C$25,Monthly!$C$12:$AL$12)</f>
        <v>1117.8</v>
      </c>
      <c r="D33" s="19" t="n">
        <f aca="false">SUMIF(Monthly!$C$5:$AL$5,D$25,Monthly!$C$12:$AL$12)</f>
        <v>1285.47</v>
      </c>
    </row>
    <row r="34" customFormat="false" ht="15" hidden="false" customHeight="false" outlineLevel="0" collapsed="false">
      <c r="A34" s="11" t="s">
        <v>29</v>
      </c>
      <c r="B34" s="22" t="n">
        <f aca="false">-SUMIF(Monthly!$C$5:$AL$5,B$25,Monthly!$C$34:$AL$34)</f>
        <v>108000</v>
      </c>
      <c r="C34" s="22" t="n">
        <f aca="false">-SUMIF(Monthly!$C$5:$AL$5,C$25,Monthly!$C$34:$AL$34)</f>
        <v>124200</v>
      </c>
      <c r="D34" s="22" t="n">
        <f aca="false">-SUMIF(Monthly!$C$5:$AL$5,D$25,Monthly!$C$34:$AL$34)</f>
        <v>142830</v>
      </c>
    </row>
    <row r="35" customFormat="false" ht="15" hidden="false" customHeight="false" outlineLevel="0" collapsed="false">
      <c r="A35" s="11" t="s">
        <v>30</v>
      </c>
      <c r="B35" s="23" t="n">
        <f aca="false">IF(B33=0,0,B34/B33)</f>
        <v>111.111111111111</v>
      </c>
      <c r="C35" s="23" t="n">
        <f aca="false">IF(C33=0,0,C34/C33)</f>
        <v>111.111111111111</v>
      </c>
      <c r="D35" s="23" t="n">
        <f aca="false">IF(D33=0,0,D34/D33)</f>
        <v>111.111111111111</v>
      </c>
    </row>
    <row r="36" customFormat="false" ht="15" hidden="false" customHeight="false" outlineLevel="0" collapsed="false">
      <c r="A36" s="4" t="s">
        <v>7</v>
      </c>
      <c r="B36" s="15" t="n">
        <f aca="false">SUMIF(Monthly!$C$5:$AL$5,B$25,Monthly!$C$22:$AL$22)</f>
        <v>1710030</v>
      </c>
      <c r="C36" s="15" t="n">
        <f aca="false">SUMIF(Monthly!$C$5:$AL$5,C$25,Monthly!$C$22:$AL$22)</f>
        <v>2015484.945</v>
      </c>
      <c r="D36" s="15" t="n">
        <f aca="false">SUMIF(Monthly!$C$5:$AL$5,D$25,Monthly!$C$22:$AL$22)</f>
        <v>2376160.7103285</v>
      </c>
    </row>
    <row r="37" customFormat="false" ht="15" hidden="false" customHeight="false" outlineLevel="0" collapsed="false">
      <c r="A37" s="11" t="s">
        <v>31</v>
      </c>
      <c r="B37" s="22" t="n">
        <f aca="false">SUMIF(Monthly!$C$5:$AL$5,B$25,Monthly!$C$19:$AL$19)</f>
        <v>1614030</v>
      </c>
      <c r="C37" s="22" t="n">
        <f aca="false">SUMIF(Monthly!$C$5:$AL$5,C$25,Monthly!$C$19:$AL$19)</f>
        <v>1896828.945</v>
      </c>
      <c r="D37" s="22" t="n">
        <f aca="false">SUMIF(Monthly!$C$5:$AL$5,D$25,Monthly!$C$19:$AL$19)</f>
        <v>2229501.8943285</v>
      </c>
    </row>
    <row r="38" customFormat="false" ht="15" hidden="false" customHeight="false" outlineLevel="0" collapsed="false">
      <c r="A38" s="11" t="s">
        <v>32</v>
      </c>
      <c r="B38" s="23" t="n">
        <f aca="false">IF(B30=0,0,B37/B30)</f>
        <v>440</v>
      </c>
      <c r="C38" s="23" t="n">
        <f aca="false">IF(C30=0,0,C37/C30)</f>
        <v>453.2</v>
      </c>
      <c r="D38" s="23" t="n">
        <f aca="false">IF(D30=0,0,D37/D30)</f>
        <v>466.796</v>
      </c>
    </row>
    <row r="39" customFormat="false" ht="15" hidden="false" customHeight="false" outlineLevel="0" collapsed="false">
      <c r="A39" s="11" t="s">
        <v>33</v>
      </c>
      <c r="B39" s="22" t="n">
        <f aca="false">IF(B27=0,0,B36/B27)</f>
        <v>244290</v>
      </c>
      <c r="C39" s="22" t="n">
        <f aca="false">IF(C27=0,0,C36/C27)</f>
        <v>257077.161352041</v>
      </c>
      <c r="D39" s="22" t="n">
        <f aca="false">IF(D27=0,0,D36/D27)</f>
        <v>270608.681478738</v>
      </c>
    </row>
    <row r="40" customFormat="false" ht="15" hidden="false" customHeight="false" outlineLevel="0" collapsed="false">
      <c r="A40" s="11" t="s">
        <v>34</v>
      </c>
      <c r="B40" s="19" t="n">
        <f aca="false">INDEX(Monthly!$C$20:$AL$20,B$25*12)</f>
        <v>400</v>
      </c>
      <c r="C40" s="19" t="n">
        <f aca="false">INDEX(Monthly!$C$20:$AL$20,C$25*12)</f>
        <v>480</v>
      </c>
      <c r="D40" s="19" t="n">
        <f aca="false">INDEX(Monthly!$C$20:$AL$20,D$25*12)</f>
        <v>576</v>
      </c>
    </row>
    <row r="41" customFormat="false" ht="15" hidden="false" customHeight="false" outlineLevel="0" collapsed="false">
      <c r="A41" s="11" t="s">
        <v>35</v>
      </c>
      <c r="B41" s="22" t="n">
        <f aca="false">SUMIF(Monthly!$C$5:$AL$5,B$25,Monthly!$C$21:$AL$21)</f>
        <v>96000</v>
      </c>
      <c r="C41" s="22" t="n">
        <f aca="false">SUMIF(Monthly!$C$5:$AL$5,C$25,Monthly!$C$21:$AL$21)</f>
        <v>118656</v>
      </c>
      <c r="D41" s="22" t="n">
        <f aca="false">SUMIF(Monthly!$C$5:$AL$5,D$25,Monthly!$C$21:$AL$21)</f>
        <v>146658.816</v>
      </c>
    </row>
    <row r="42" customFormat="false" ht="15" hidden="false" customHeight="false" outlineLevel="0" collapsed="false">
      <c r="A42" s="11" t="s">
        <v>36</v>
      </c>
      <c r="B42" s="21" t="n">
        <f aca="false">IF(B36=0,0,B41/B36)</f>
        <v>0.0561393659760355</v>
      </c>
      <c r="C42" s="21" t="n">
        <f aca="false">IF(C36=0,0,C41/C36)</f>
        <v>0.0588721837364059</v>
      </c>
      <c r="D42" s="21" t="n">
        <f aca="false">IF(D36=0,0,D41/D36)</f>
        <v>0.0617209161663668</v>
      </c>
    </row>
    <row r="43" customFormat="false" ht="15" hidden="false" customHeight="false" outlineLevel="0" collapsed="false">
      <c r="A43" s="11" t="s">
        <v>8</v>
      </c>
      <c r="B43" s="22" t="n">
        <f aca="false">SUMIF(Monthly!$C$5:$AL$5,B$25,Monthly!$C$30:$AL$30)</f>
        <v>659822.5</v>
      </c>
      <c r="C43" s="22" t="n">
        <f aca="false">SUMIF(Monthly!$C$5:$AL$5,C$25,Monthly!$C$30:$AL$30)</f>
        <v>795749.54875</v>
      </c>
      <c r="D43" s="22" t="n">
        <f aca="false">SUMIF(Monthly!$C$5:$AL$5,D$25,Monthly!$C$30:$AL$30)</f>
        <v>958942.464010375</v>
      </c>
    </row>
    <row r="44" customFormat="false" ht="15" hidden="false" customHeight="false" outlineLevel="0" collapsed="false">
      <c r="A44" s="11" t="s">
        <v>37</v>
      </c>
      <c r="B44" s="21" t="n">
        <f aca="false">IF(B36=0,0,B43/B36)</f>
        <v>0.385854341736695</v>
      </c>
      <c r="C44" s="21" t="n">
        <f aca="false">IF(C36=0,0,C43/C36)</f>
        <v>0.394817907583031</v>
      </c>
      <c r="D44" s="21" t="n">
        <f aca="false">IF(D36=0,0,D43/D36)</f>
        <v>0.403568016187677</v>
      </c>
    </row>
    <row r="45" customFormat="false" ht="15" hidden="false" customHeight="false" outlineLevel="0" collapsed="false">
      <c r="A45" s="11" t="s">
        <v>38</v>
      </c>
      <c r="B45" s="23" t="n">
        <f aca="false">IF(B30=0,0,B43/B30)</f>
        <v>179.873918080829</v>
      </c>
      <c r="C45" s="23" t="n">
        <f aca="false">IF(C30=0,0,C43/C30)</f>
        <v>190.124521477871</v>
      </c>
      <c r="D45" s="23" t="n">
        <f aca="false">IF(D30=0,0,D43/D30)</f>
        <v>200.776015292424</v>
      </c>
    </row>
    <row r="46" customFormat="false" ht="15" hidden="false" customHeight="false" outlineLevel="0" collapsed="false">
      <c r="A46" s="11" t="s">
        <v>9</v>
      </c>
      <c r="B46" s="22" t="n">
        <f aca="false">SUMIF(Monthly!$C$5:$AL$5,B$25,Monthly!$C$41:$AL$41)</f>
        <v>266071.69</v>
      </c>
      <c r="C46" s="22" t="n">
        <f aca="false">SUMIF(Monthly!$C$5:$AL$5,C$25,Monthly!$C$41:$AL$41)</f>
        <v>362576.355235</v>
      </c>
      <c r="D46" s="22" t="n">
        <f aca="false">SUMIF(Monthly!$C$5:$AL$5,D$25,Monthly!$C$41:$AL$41)</f>
        <v>480449.961331505</v>
      </c>
    </row>
    <row r="47" customFormat="false" ht="15" hidden="false" customHeight="false" outlineLevel="0" collapsed="false">
      <c r="A47" s="11" t="s">
        <v>10</v>
      </c>
      <c r="B47" s="21" t="n">
        <f aca="false">IF(B36=0,0,B46/B36)</f>
        <v>0.155594749799711</v>
      </c>
      <c r="C47" s="21" t="n">
        <f aca="false">IF(C36=0,0,C46/C36)</f>
        <v>0.179895342872432</v>
      </c>
      <c r="D47" s="21" t="n">
        <f aca="false">IF(D36=0,0,D46/D36)</f>
        <v>0.202195903350781</v>
      </c>
    </row>
  </sheetData>
  <dataValidations count="1">
    <dataValidation allowBlank="false" error="Enter 1, 2 or 3" errorStyle="stop" errorTitle="Scenario" operator="between" showDropDown="false" showErrorMessage="true" showInputMessage="false" sqref="B4" type="list">
      <formula1>"1,2,3"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2"/>
    <col collapsed="false" customWidth="true" hidden="false" outlineLevel="0" max="7" min="7" style="0" width="30"/>
  </cols>
  <sheetData>
    <row r="1" customFormat="false" ht="24" hidden="false" customHeight="true" outlineLevel="0" collapsed="false">
      <c r="A1" s="1" t="s">
        <v>39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40</v>
      </c>
    </row>
    <row r="5" customFormat="false" ht="15" hidden="false" customHeight="false" outlineLevel="0" collapsed="false">
      <c r="A5" s="24" t="s">
        <v>41</v>
      </c>
      <c r="B5" s="9" t="s">
        <v>42</v>
      </c>
      <c r="C5" s="9" t="s">
        <v>43</v>
      </c>
      <c r="D5" s="9" t="s">
        <v>44</v>
      </c>
      <c r="E5" s="9" t="s">
        <v>45</v>
      </c>
      <c r="F5" s="24" t="s">
        <v>46</v>
      </c>
      <c r="G5" s="24" t="s">
        <v>47</v>
      </c>
    </row>
    <row r="6" customFormat="false" ht="15" hidden="false" customHeight="false" outlineLevel="0" collapsed="false">
      <c r="A6" s="7" t="s">
        <v>48</v>
      </c>
      <c r="B6" s="8"/>
      <c r="C6" s="8"/>
      <c r="D6" s="8"/>
      <c r="E6" s="8"/>
      <c r="F6" s="8"/>
      <c r="G6" s="8"/>
    </row>
    <row r="7" customFormat="false" ht="15" hidden="false" customHeight="false" outlineLevel="0" collapsed="false">
      <c r="A7" s="11" t="s">
        <v>49</v>
      </c>
      <c r="B7" s="25" t="n">
        <v>2.35</v>
      </c>
      <c r="C7" s="25" t="n">
        <v>2.5</v>
      </c>
      <c r="D7" s="25" t="n">
        <v>2.65</v>
      </c>
      <c r="E7" s="18" t="n">
        <f aca="false">CHOOSE(Dashboard!$B$4,B7,C7,D7)</f>
        <v>2.5</v>
      </c>
      <c r="F7" s="26" t="s">
        <v>50</v>
      </c>
      <c r="G7" s="17" t="s">
        <v>51</v>
      </c>
    </row>
    <row r="8" customFormat="false" ht="15" hidden="false" customHeight="false" outlineLevel="0" collapsed="false">
      <c r="A8" s="11" t="s">
        <v>52</v>
      </c>
      <c r="B8" s="27" t="n">
        <v>21</v>
      </c>
      <c r="C8" s="27" t="n">
        <v>21</v>
      </c>
      <c r="D8" s="27" t="n">
        <v>21</v>
      </c>
      <c r="E8" s="20" t="n">
        <f aca="false">CHOOSE(Dashboard!$B$4,B8,C8,D8)</f>
        <v>21</v>
      </c>
      <c r="F8" s="26" t="s">
        <v>53</v>
      </c>
      <c r="G8" s="17"/>
    </row>
    <row r="10" customFormat="false" ht="15" hidden="false" customHeight="false" outlineLevel="0" collapsed="false">
      <c r="A10" s="7" t="s">
        <v>54</v>
      </c>
      <c r="B10" s="8"/>
      <c r="C10" s="8"/>
      <c r="D10" s="8"/>
      <c r="E10" s="8"/>
      <c r="F10" s="8"/>
      <c r="G10" s="8"/>
    </row>
    <row r="11" customFormat="false" ht="15" hidden="false" customHeight="false" outlineLevel="0" collapsed="false">
      <c r="A11" s="11" t="s">
        <v>55</v>
      </c>
      <c r="B11" s="28" t="n">
        <v>9000</v>
      </c>
      <c r="C11" s="28" t="n">
        <v>9000</v>
      </c>
      <c r="D11" s="28" t="n">
        <v>9000</v>
      </c>
      <c r="E11" s="15" t="n">
        <f aca="false">CHOOSE(Dashboard!$B$4,B11,C11,D11)</f>
        <v>9000</v>
      </c>
      <c r="F11" s="26" t="s">
        <v>56</v>
      </c>
      <c r="G11" s="17"/>
    </row>
    <row r="12" customFormat="false" ht="15" hidden="false" customHeight="false" outlineLevel="0" collapsed="false">
      <c r="A12" s="11" t="s">
        <v>57</v>
      </c>
      <c r="B12" s="29" t="n">
        <v>0.12</v>
      </c>
      <c r="C12" s="29" t="n">
        <v>0.15</v>
      </c>
      <c r="D12" s="29" t="n">
        <v>0.18</v>
      </c>
      <c r="E12" s="30" t="n">
        <f aca="false">CHOOSE(Dashboard!$B$4,B12,C12,D12)</f>
        <v>0.15</v>
      </c>
      <c r="F12" s="26" t="s">
        <v>58</v>
      </c>
      <c r="G12" s="17" t="s">
        <v>51</v>
      </c>
    </row>
    <row r="13" customFormat="false" ht="15" hidden="false" customHeight="false" outlineLevel="0" collapsed="false">
      <c r="A13" s="11" t="s">
        <v>59</v>
      </c>
      <c r="B13" s="31" t="n">
        <v>52</v>
      </c>
      <c r="C13" s="31" t="n">
        <v>50</v>
      </c>
      <c r="D13" s="31" t="n">
        <v>48</v>
      </c>
      <c r="E13" s="32" t="n">
        <f aca="false">CHOOSE(Dashboard!$B$4,B13,C13,D13)</f>
        <v>50</v>
      </c>
      <c r="F13" s="26" t="s">
        <v>56</v>
      </c>
      <c r="G13" s="17" t="s">
        <v>60</v>
      </c>
    </row>
    <row r="14" customFormat="false" ht="15" hidden="false" customHeight="false" outlineLevel="0" collapsed="false">
      <c r="A14" s="11" t="s">
        <v>61</v>
      </c>
      <c r="B14" s="29" t="n">
        <v>0.42</v>
      </c>
      <c r="C14" s="29" t="n">
        <v>0.45</v>
      </c>
      <c r="D14" s="29" t="n">
        <v>0.48</v>
      </c>
      <c r="E14" s="30" t="n">
        <f aca="false">CHOOSE(Dashboard!$B$4,B14,C14,D14)</f>
        <v>0.45</v>
      </c>
      <c r="F14" s="26" t="s">
        <v>58</v>
      </c>
      <c r="G14" s="17" t="s">
        <v>51</v>
      </c>
    </row>
    <row r="15" customFormat="false" ht="15" hidden="false" customHeight="false" outlineLevel="0" collapsed="false">
      <c r="A15" s="11" t="s">
        <v>62</v>
      </c>
      <c r="B15" s="25" t="n">
        <v>190</v>
      </c>
      <c r="C15" s="25" t="n">
        <v>230</v>
      </c>
      <c r="D15" s="25" t="n">
        <v>270</v>
      </c>
      <c r="E15" s="18" t="n">
        <f aca="false">CHOOSE(Dashboard!$B$4,B15,C15,D15)</f>
        <v>230</v>
      </c>
      <c r="F15" s="26" t="s">
        <v>50</v>
      </c>
      <c r="G15" s="17" t="s">
        <v>51</v>
      </c>
    </row>
    <row r="16" customFormat="false" ht="15" hidden="false" customHeight="false" outlineLevel="0" collapsed="false">
      <c r="A16" s="11" t="s">
        <v>63</v>
      </c>
      <c r="B16" s="29" t="n">
        <v>0.12</v>
      </c>
      <c r="C16" s="29" t="n">
        <v>0.15</v>
      </c>
      <c r="D16" s="29" t="n">
        <v>0.18</v>
      </c>
      <c r="E16" s="30" t="n">
        <f aca="false">CHOOSE(Dashboard!$B$4,B16,C16,D16)</f>
        <v>0.15</v>
      </c>
      <c r="F16" s="26" t="s">
        <v>58</v>
      </c>
      <c r="G16" s="17" t="s">
        <v>51</v>
      </c>
    </row>
    <row r="17" customFormat="false" ht="15" hidden="false" customHeight="false" outlineLevel="0" collapsed="false">
      <c r="A17" s="11" t="s">
        <v>64</v>
      </c>
      <c r="B17" s="29" t="n">
        <v>0.25</v>
      </c>
      <c r="C17" s="29" t="n">
        <v>0.25</v>
      </c>
      <c r="D17" s="29" t="n">
        <v>0.25</v>
      </c>
      <c r="E17" s="30" t="n">
        <f aca="false">CHOOSE(Dashboard!$B$4,B17,C17,D17)</f>
        <v>0.25</v>
      </c>
      <c r="F17" s="26" t="s">
        <v>58</v>
      </c>
      <c r="G17" s="17"/>
    </row>
    <row r="19" customFormat="false" ht="15" hidden="false" customHeight="false" outlineLevel="0" collapsed="false">
      <c r="A19" s="7" t="s">
        <v>65</v>
      </c>
      <c r="B19" s="8"/>
      <c r="C19" s="8"/>
      <c r="D19" s="8"/>
      <c r="E19" s="8"/>
      <c r="F19" s="8"/>
      <c r="G19" s="8"/>
    </row>
    <row r="20" customFormat="false" ht="15" hidden="false" customHeight="false" outlineLevel="0" collapsed="false">
      <c r="A20" s="11" t="s">
        <v>66</v>
      </c>
      <c r="B20" s="31" t="n">
        <v>415</v>
      </c>
      <c r="C20" s="31" t="n">
        <v>440</v>
      </c>
      <c r="D20" s="31" t="n">
        <v>465</v>
      </c>
      <c r="E20" s="32" t="n">
        <f aca="false">CHOOSE(Dashboard!$B$4,B20,C20,D20)</f>
        <v>440</v>
      </c>
      <c r="F20" s="26" t="s">
        <v>56</v>
      </c>
      <c r="G20" s="17" t="s">
        <v>51</v>
      </c>
    </row>
    <row r="21" customFormat="false" ht="15" hidden="false" customHeight="false" outlineLevel="0" collapsed="false">
      <c r="A21" s="11" t="s">
        <v>67</v>
      </c>
      <c r="B21" s="29" t="n">
        <v>0.02</v>
      </c>
      <c r="C21" s="29" t="n">
        <v>0.03</v>
      </c>
      <c r="D21" s="29" t="n">
        <v>0.04</v>
      </c>
      <c r="E21" s="30" t="n">
        <f aca="false">CHOOSE(Dashboard!$B$4,B21,C21,D21)</f>
        <v>0.03</v>
      </c>
      <c r="F21" s="26" t="s">
        <v>58</v>
      </c>
      <c r="G21" s="17" t="s">
        <v>51</v>
      </c>
    </row>
    <row r="23" customFormat="false" ht="15" hidden="false" customHeight="false" outlineLevel="0" collapsed="false">
      <c r="A23" s="7" t="s">
        <v>68</v>
      </c>
      <c r="B23" s="8"/>
      <c r="C23" s="8"/>
      <c r="D23" s="8"/>
      <c r="E23" s="8"/>
      <c r="F23" s="8"/>
      <c r="G23" s="8"/>
    </row>
    <row r="24" customFormat="false" ht="15" hidden="false" customHeight="false" outlineLevel="0" collapsed="false">
      <c r="A24" s="11" t="s">
        <v>69</v>
      </c>
      <c r="B24" s="27" t="n">
        <v>300</v>
      </c>
      <c r="C24" s="27" t="n">
        <v>400</v>
      </c>
      <c r="D24" s="27" t="n">
        <v>500</v>
      </c>
      <c r="E24" s="20" t="n">
        <f aca="false">CHOOSE(Dashboard!$B$4,B24,C24,D24)</f>
        <v>400</v>
      </c>
      <c r="F24" s="26" t="s">
        <v>70</v>
      </c>
      <c r="G24" s="17" t="s">
        <v>51</v>
      </c>
    </row>
    <row r="25" customFormat="false" ht="15" hidden="false" customHeight="false" outlineLevel="0" collapsed="false">
      <c r="A25" s="11" t="s">
        <v>71</v>
      </c>
      <c r="B25" s="29" t="n">
        <v>0.15</v>
      </c>
      <c r="C25" s="29" t="n">
        <v>0.2</v>
      </c>
      <c r="D25" s="29" t="n">
        <v>0.25</v>
      </c>
      <c r="E25" s="30" t="n">
        <f aca="false">CHOOSE(Dashboard!$B$4,B25,C25,D25)</f>
        <v>0.2</v>
      </c>
      <c r="F25" s="26" t="s">
        <v>58</v>
      </c>
      <c r="G25" s="17" t="s">
        <v>51</v>
      </c>
    </row>
    <row r="26" customFormat="false" ht="15" hidden="false" customHeight="false" outlineLevel="0" collapsed="false">
      <c r="A26" s="11" t="s">
        <v>72</v>
      </c>
      <c r="B26" s="31" t="n">
        <v>18</v>
      </c>
      <c r="C26" s="31" t="n">
        <v>20</v>
      </c>
      <c r="D26" s="31" t="n">
        <v>22</v>
      </c>
      <c r="E26" s="32" t="n">
        <f aca="false">CHOOSE(Dashboard!$B$4,B26,C26,D26)</f>
        <v>20</v>
      </c>
      <c r="F26" s="26" t="s">
        <v>56</v>
      </c>
      <c r="G26" s="17" t="s">
        <v>51</v>
      </c>
    </row>
    <row r="27" customFormat="false" ht="15" hidden="false" customHeight="false" outlineLevel="0" collapsed="false">
      <c r="A27" s="11" t="s">
        <v>73</v>
      </c>
      <c r="B27" s="29" t="n">
        <v>0.42</v>
      </c>
      <c r="C27" s="29" t="n">
        <v>0.4</v>
      </c>
      <c r="D27" s="29" t="n">
        <v>0.38</v>
      </c>
      <c r="E27" s="30" t="n">
        <f aca="false">CHOOSE(Dashboard!$B$4,B27,C27,D27)</f>
        <v>0.4</v>
      </c>
      <c r="F27" s="26" t="s">
        <v>58</v>
      </c>
      <c r="G27" s="17" t="s">
        <v>60</v>
      </c>
    </row>
    <row r="29" customFormat="false" ht="15" hidden="false" customHeight="false" outlineLevel="0" collapsed="false">
      <c r="A29" s="7" t="s">
        <v>74</v>
      </c>
      <c r="B29" s="8"/>
      <c r="C29" s="8"/>
      <c r="D29" s="8"/>
      <c r="E29" s="8"/>
      <c r="F29" s="8"/>
      <c r="G29" s="8"/>
    </row>
    <row r="30" customFormat="false" ht="15" hidden="false" customHeight="false" outlineLevel="0" collapsed="false">
      <c r="A30" s="11" t="s">
        <v>75</v>
      </c>
      <c r="B30" s="29" t="n">
        <v>0.26</v>
      </c>
      <c r="C30" s="29" t="n">
        <v>0.25</v>
      </c>
      <c r="D30" s="29" t="n">
        <v>0.24</v>
      </c>
      <c r="E30" s="30" t="n">
        <f aca="false">CHOOSE(Dashboard!$B$4,B30,C30,D30)</f>
        <v>0.25</v>
      </c>
      <c r="F30" s="26" t="s">
        <v>58</v>
      </c>
      <c r="G30" s="17" t="s">
        <v>60</v>
      </c>
    </row>
    <row r="31" customFormat="false" ht="15" hidden="false" customHeight="false" outlineLevel="0" collapsed="false">
      <c r="A31" s="11" t="s">
        <v>76</v>
      </c>
      <c r="B31" s="28" t="n">
        <v>1350</v>
      </c>
      <c r="C31" s="28" t="n">
        <v>1300</v>
      </c>
      <c r="D31" s="28" t="n">
        <v>1250</v>
      </c>
      <c r="E31" s="15" t="n">
        <f aca="false">CHOOSE(Dashboard!$B$4,B31,C31,D31)</f>
        <v>1300</v>
      </c>
      <c r="F31" s="26" t="s">
        <v>56</v>
      </c>
      <c r="G31" s="17" t="s">
        <v>60</v>
      </c>
    </row>
    <row r="32" customFormat="false" ht="15" hidden="false" customHeight="false" outlineLevel="0" collapsed="false">
      <c r="A32" s="11" t="s">
        <v>77</v>
      </c>
      <c r="B32" s="28" t="n">
        <v>120</v>
      </c>
      <c r="C32" s="28" t="n">
        <v>120</v>
      </c>
      <c r="D32" s="28" t="n">
        <v>120</v>
      </c>
      <c r="E32" s="15" t="n">
        <f aca="false">CHOOSE(Dashboard!$B$4,B32,C32,D32)</f>
        <v>120</v>
      </c>
      <c r="F32" s="26" t="s">
        <v>56</v>
      </c>
      <c r="G32" s="17"/>
    </row>
    <row r="33" customFormat="false" ht="15" hidden="false" customHeight="false" outlineLevel="0" collapsed="false">
      <c r="A33" s="11" t="s">
        <v>78</v>
      </c>
      <c r="B33" s="28" t="n">
        <v>3500</v>
      </c>
      <c r="C33" s="28" t="n">
        <v>3500</v>
      </c>
      <c r="D33" s="28" t="n">
        <v>3500</v>
      </c>
      <c r="E33" s="15" t="n">
        <f aca="false">CHOOSE(Dashboard!$B$4,B33,C33,D33)</f>
        <v>3500</v>
      </c>
      <c r="F33" s="26" t="s">
        <v>56</v>
      </c>
      <c r="G33" s="17"/>
    </row>
    <row r="34" customFormat="false" ht="15" hidden="false" customHeight="false" outlineLevel="0" collapsed="false">
      <c r="A34" s="11" t="s">
        <v>79</v>
      </c>
      <c r="B34" s="28" t="n">
        <v>4500</v>
      </c>
      <c r="C34" s="28" t="n">
        <v>4500</v>
      </c>
      <c r="D34" s="28" t="n">
        <v>4500</v>
      </c>
      <c r="E34" s="15" t="n">
        <f aca="false">CHOOSE(Dashboard!$B$4,B34,C34,D34)</f>
        <v>4500</v>
      </c>
      <c r="F34" s="26" t="s">
        <v>56</v>
      </c>
      <c r="G34" s="17"/>
    </row>
    <row r="35" customFormat="false" ht="15" hidden="false" customHeight="false" outlineLevel="0" collapsed="false">
      <c r="A35" s="11" t="s">
        <v>80</v>
      </c>
      <c r="B35" s="28" t="n">
        <v>2500</v>
      </c>
      <c r="C35" s="28" t="n">
        <v>2500</v>
      </c>
      <c r="D35" s="28" t="n">
        <v>2500</v>
      </c>
      <c r="E35" s="15" t="n">
        <f aca="false">CHOOSE(Dashboard!$B$4,B35,C35,D35)</f>
        <v>2500</v>
      </c>
      <c r="F35" s="26" t="s">
        <v>56</v>
      </c>
      <c r="G35" s="17"/>
    </row>
    <row r="36" customFormat="false" ht="15" hidden="false" customHeight="false" outlineLevel="0" collapsed="false">
      <c r="A36" s="11" t="s">
        <v>81</v>
      </c>
      <c r="B36" s="29" t="n">
        <v>0.029</v>
      </c>
      <c r="C36" s="29" t="n">
        <v>0.027</v>
      </c>
      <c r="D36" s="29" t="n">
        <v>0.025</v>
      </c>
      <c r="E36" s="30" t="n">
        <f aca="false">CHOOSE(Dashboard!$B$4,B36,C36,D36)</f>
        <v>0.027</v>
      </c>
      <c r="F36" s="26" t="s">
        <v>58</v>
      </c>
      <c r="G36" s="17" t="s">
        <v>60</v>
      </c>
    </row>
    <row r="37" customFormat="false" ht="15" hidden="false" customHeight="false" outlineLevel="0" collapsed="false">
      <c r="A37" s="11" t="s">
        <v>82</v>
      </c>
      <c r="B37" s="28" t="n">
        <v>20000</v>
      </c>
      <c r="C37" s="28" t="n">
        <v>20000</v>
      </c>
      <c r="D37" s="28" t="n">
        <v>20000</v>
      </c>
      <c r="E37" s="15" t="n">
        <f aca="false">CHOOSE(Dashboard!$B$4,B37,C37,D37)</f>
        <v>20000</v>
      </c>
      <c r="F37" s="26" t="s">
        <v>56</v>
      </c>
      <c r="G37" s="17"/>
    </row>
    <row r="38" customFormat="false" ht="15" hidden="false" customHeight="false" outlineLevel="0" collapsed="false">
      <c r="A38" s="11" t="s">
        <v>83</v>
      </c>
      <c r="B38" s="28" t="n">
        <v>47000</v>
      </c>
      <c r="C38" s="28" t="n">
        <v>45000</v>
      </c>
      <c r="D38" s="28" t="n">
        <v>43000</v>
      </c>
      <c r="E38" s="15" t="n">
        <f aca="false">CHOOSE(Dashboard!$B$4,B38,C38,D38)</f>
        <v>45000</v>
      </c>
      <c r="F38" s="26" t="s">
        <v>56</v>
      </c>
      <c r="G38" s="17" t="s">
        <v>60</v>
      </c>
    </row>
    <row r="39" customFormat="false" ht="15" hidden="false" customHeight="false" outlineLevel="0" collapsed="false">
      <c r="A39" s="11" t="s">
        <v>84</v>
      </c>
      <c r="B39" s="25" t="n">
        <v>7</v>
      </c>
      <c r="C39" s="25" t="n">
        <v>7</v>
      </c>
      <c r="D39" s="25" t="n">
        <v>7</v>
      </c>
      <c r="E39" s="18" t="n">
        <f aca="false">CHOOSE(Dashboard!$B$4,B39,C39,D39)</f>
        <v>7</v>
      </c>
      <c r="F39" s="26" t="s">
        <v>85</v>
      </c>
      <c r="G39" s="17"/>
    </row>
    <row r="41" customFormat="false" ht="15" hidden="false" customHeight="false" outlineLevel="0" collapsed="false">
      <c r="A41" s="7" t="s">
        <v>86</v>
      </c>
      <c r="B41" s="8"/>
      <c r="C41" s="8"/>
      <c r="D41" s="8"/>
      <c r="E41" s="8"/>
      <c r="F41" s="8"/>
      <c r="G41" s="8"/>
    </row>
    <row r="42" customFormat="false" ht="15" hidden="false" customHeight="false" outlineLevel="0" collapsed="false">
      <c r="A42" s="11" t="s">
        <v>87</v>
      </c>
      <c r="B42" s="25" t="n">
        <v>7</v>
      </c>
      <c r="C42" s="25" t="n">
        <v>7</v>
      </c>
      <c r="D42" s="25" t="n">
        <v>7</v>
      </c>
      <c r="E42" s="18" t="n">
        <f aca="false">CHOOSE(Dashboard!$B$4,B42,C42,D42)</f>
        <v>7</v>
      </c>
      <c r="F42" s="26" t="s">
        <v>85</v>
      </c>
      <c r="G42" s="17" t="s">
        <v>51</v>
      </c>
    </row>
    <row r="43" customFormat="false" ht="15" hidden="false" customHeight="false" outlineLevel="0" collapsed="false">
      <c r="A43" s="11" t="s">
        <v>88</v>
      </c>
      <c r="B43" s="28" t="n">
        <v>62000</v>
      </c>
      <c r="C43" s="28" t="n">
        <v>62000</v>
      </c>
      <c r="D43" s="28" t="n">
        <v>62000</v>
      </c>
      <c r="E43" s="15" t="n">
        <f aca="false">CHOOSE(Dashboard!$B$4,B43,C43,D43)</f>
        <v>62000</v>
      </c>
      <c r="F43" s="26" t="s">
        <v>56</v>
      </c>
      <c r="G43" s="17"/>
    </row>
    <row r="44" customFormat="false" ht="15" hidden="false" customHeight="false" outlineLevel="0" collapsed="false">
      <c r="A44" s="11" t="s">
        <v>89</v>
      </c>
      <c r="B44" s="29" t="n">
        <v>0.12</v>
      </c>
      <c r="C44" s="29" t="n">
        <v>0.12</v>
      </c>
      <c r="D44" s="29" t="n">
        <v>0.12</v>
      </c>
      <c r="E44" s="30" t="n">
        <f aca="false">CHOOSE(Dashboard!$B$4,B44,C44,D44)</f>
        <v>0.12</v>
      </c>
      <c r="F44" s="26" t="s">
        <v>58</v>
      </c>
      <c r="G44" s="17" t="s">
        <v>51</v>
      </c>
    </row>
    <row r="45" customFormat="false" ht="15" hidden="false" customHeight="false" outlineLevel="0" collapsed="false">
      <c r="A45" s="11" t="s">
        <v>90</v>
      </c>
      <c r="B45" s="27" t="n">
        <v>1</v>
      </c>
      <c r="C45" s="27" t="n">
        <v>1</v>
      </c>
      <c r="D45" s="27" t="n">
        <v>1</v>
      </c>
      <c r="E45" s="20" t="n">
        <f aca="false">CHOOSE(Dashboard!$B$4,B45,C45,D45)</f>
        <v>1</v>
      </c>
      <c r="F45" s="26" t="s">
        <v>91</v>
      </c>
      <c r="G45" s="17"/>
    </row>
    <row r="46" customFormat="false" ht="15" hidden="false" customHeight="false" outlineLevel="0" collapsed="false">
      <c r="A46" s="11" t="s">
        <v>92</v>
      </c>
      <c r="B46" s="25" t="n">
        <v>2</v>
      </c>
      <c r="C46" s="25" t="n">
        <v>2</v>
      </c>
      <c r="D46" s="25" t="n">
        <v>2</v>
      </c>
      <c r="E46" s="18" t="n">
        <f aca="false">CHOOSE(Dashboard!$B$4,B46,C46,D46)</f>
        <v>2</v>
      </c>
      <c r="F46" s="26" t="s">
        <v>85</v>
      </c>
      <c r="G46" s="17" t="s">
        <v>51</v>
      </c>
    </row>
    <row r="47" customFormat="false" ht="15" hidden="false" customHeight="false" outlineLevel="0" collapsed="false">
      <c r="A47" s="11" t="s">
        <v>93</v>
      </c>
      <c r="B47" s="28" t="n">
        <v>45000</v>
      </c>
      <c r="C47" s="28" t="n">
        <v>45000</v>
      </c>
      <c r="D47" s="28" t="n">
        <v>45000</v>
      </c>
      <c r="E47" s="15" t="n">
        <f aca="false">CHOOSE(Dashboard!$B$4,B47,C47,D47)</f>
        <v>45000</v>
      </c>
      <c r="F47" s="26" t="s">
        <v>56</v>
      </c>
      <c r="G47" s="17"/>
    </row>
    <row r="48" customFormat="false" ht="15" hidden="false" customHeight="false" outlineLevel="0" collapsed="false">
      <c r="A48" s="11" t="s">
        <v>94</v>
      </c>
      <c r="B48" s="29" t="n">
        <v>0.1</v>
      </c>
      <c r="C48" s="29" t="n">
        <v>0.1</v>
      </c>
      <c r="D48" s="29" t="n">
        <v>0.1</v>
      </c>
      <c r="E48" s="30" t="n">
        <f aca="false">CHOOSE(Dashboard!$B$4,B48,C48,D48)</f>
        <v>0.1</v>
      </c>
      <c r="F48" s="26" t="s">
        <v>58</v>
      </c>
      <c r="G48" s="17" t="s">
        <v>51</v>
      </c>
    </row>
    <row r="49" customFormat="false" ht="15" hidden="false" customHeight="false" outlineLevel="0" collapsed="false">
      <c r="A49" s="11" t="s">
        <v>95</v>
      </c>
      <c r="B49" s="27" t="n">
        <v>1</v>
      </c>
      <c r="C49" s="27" t="n">
        <v>1</v>
      </c>
      <c r="D49" s="27" t="n">
        <v>1</v>
      </c>
      <c r="E49" s="20" t="n">
        <f aca="false">CHOOSE(Dashboard!$B$4,B49,C49,D49)</f>
        <v>1</v>
      </c>
      <c r="F49" s="26" t="s">
        <v>91</v>
      </c>
      <c r="G49" s="17"/>
    </row>
    <row r="50" customFormat="false" ht="15" hidden="false" customHeight="false" outlineLevel="0" collapsed="false">
      <c r="A50" s="11" t="s">
        <v>96</v>
      </c>
      <c r="B50" s="29" t="n">
        <v>0.15</v>
      </c>
      <c r="C50" s="29" t="n">
        <v>0.15</v>
      </c>
      <c r="D50" s="29" t="n">
        <v>0.15</v>
      </c>
      <c r="E50" s="30" t="n">
        <f aca="false">CHOOSE(Dashboard!$B$4,B50,C50,D50)</f>
        <v>0.15</v>
      </c>
      <c r="F50" s="26" t="s">
        <v>58</v>
      </c>
      <c r="G50" s="17"/>
    </row>
    <row r="51" customFormat="false" ht="15" hidden="false" customHeight="false" outlineLevel="0" collapsed="false">
      <c r="A51" s="11" t="s">
        <v>97</v>
      </c>
      <c r="B51" s="29" t="n">
        <v>0.03</v>
      </c>
      <c r="C51" s="29" t="n">
        <v>0.03</v>
      </c>
      <c r="D51" s="29" t="n">
        <v>0.03</v>
      </c>
      <c r="E51" s="30" t="n">
        <f aca="false">CHOOSE(Dashboard!$B$4,B51,C51,D51)</f>
        <v>0.03</v>
      </c>
      <c r="F51" s="26" t="s">
        <v>58</v>
      </c>
      <c r="G51" s="17"/>
    </row>
    <row r="53" customFormat="false" ht="15" hidden="false" customHeight="false" outlineLevel="0" collapsed="false">
      <c r="A53" s="7" t="s">
        <v>98</v>
      </c>
      <c r="B53" s="8"/>
      <c r="C53" s="8"/>
      <c r="D53" s="8"/>
      <c r="E53" s="8"/>
      <c r="F53" s="8"/>
      <c r="G53" s="8"/>
    </row>
    <row r="54" customFormat="false" ht="15" hidden="false" customHeight="false" outlineLevel="0" collapsed="false">
      <c r="A54" s="11" t="s">
        <v>99</v>
      </c>
      <c r="B54" s="28" t="n">
        <v>100000</v>
      </c>
      <c r="C54" s="28" t="n">
        <v>100000</v>
      </c>
      <c r="D54" s="28" t="n">
        <v>100000</v>
      </c>
      <c r="E54" s="15" t="n">
        <f aca="false">CHOOSE(Dashboard!$B$4,B54,C54,D54)</f>
        <v>100000</v>
      </c>
      <c r="F54" s="26" t="s">
        <v>56</v>
      </c>
      <c r="G54" s="17"/>
    </row>
    <row r="55" customFormat="false" ht="15" hidden="false" customHeight="false" outlineLevel="0" collapsed="false">
      <c r="A55" s="11" t="s">
        <v>100</v>
      </c>
      <c r="B55" s="28" t="n">
        <v>250000</v>
      </c>
      <c r="C55" s="28" t="n">
        <v>250000</v>
      </c>
      <c r="D55" s="28" t="n">
        <v>250000</v>
      </c>
      <c r="E55" s="15" t="n">
        <f aca="false">CHOOSE(Dashboard!$B$4,B55,C55,D55)</f>
        <v>250000</v>
      </c>
      <c r="F55" s="26" t="s">
        <v>56</v>
      </c>
      <c r="G55" s="17"/>
    </row>
    <row r="56" customFormat="false" ht="15" hidden="false" customHeight="false" outlineLevel="0" collapsed="false">
      <c r="A56" s="11" t="s">
        <v>101</v>
      </c>
      <c r="B56" s="29" t="n">
        <v>0.08</v>
      </c>
      <c r="C56" s="29" t="n">
        <v>0.08</v>
      </c>
      <c r="D56" s="29" t="n">
        <v>0.08</v>
      </c>
      <c r="E56" s="30" t="n">
        <f aca="false">CHOOSE(Dashboard!$B$4,B56,C56,D56)</f>
        <v>0.08</v>
      </c>
      <c r="F56" s="26" t="s">
        <v>58</v>
      </c>
      <c r="G56" s="17"/>
    </row>
    <row r="57" customFormat="false" ht="15" hidden="false" customHeight="false" outlineLevel="0" collapsed="false">
      <c r="A57" s="11" t="s">
        <v>102</v>
      </c>
      <c r="B57" s="27" t="n">
        <v>5</v>
      </c>
      <c r="C57" s="27" t="n">
        <v>5</v>
      </c>
      <c r="D57" s="27" t="n">
        <v>5</v>
      </c>
      <c r="E57" s="20" t="n">
        <f aca="false">CHOOSE(Dashboard!$B$4,B57,C57,D57)</f>
        <v>5</v>
      </c>
      <c r="F57" s="26" t="s">
        <v>103</v>
      </c>
      <c r="G57" s="17"/>
    </row>
    <row r="59" customFormat="false" ht="15" hidden="false" customHeight="false" outlineLevel="0" collapsed="false">
      <c r="A59" s="7" t="s">
        <v>104</v>
      </c>
      <c r="B59" s="8"/>
      <c r="C59" s="8"/>
      <c r="D59" s="8"/>
      <c r="E59" s="8"/>
      <c r="F59" s="8"/>
      <c r="G59" s="8"/>
    </row>
    <row r="60" customFormat="false" ht="15" hidden="false" customHeight="false" outlineLevel="0" collapsed="false">
      <c r="A60" s="11" t="s">
        <v>105</v>
      </c>
      <c r="B60" s="27" t="n">
        <v>10</v>
      </c>
      <c r="C60" s="27" t="n">
        <v>10</v>
      </c>
      <c r="D60" s="27" t="n">
        <v>10</v>
      </c>
      <c r="E60" s="20" t="n">
        <f aca="false">CHOOSE(Dashboard!$B$4,B60,C60,D60)</f>
        <v>10</v>
      </c>
      <c r="F60" s="26" t="s">
        <v>53</v>
      </c>
      <c r="G60" s="17"/>
    </row>
    <row r="61" customFormat="false" ht="15" hidden="false" customHeight="false" outlineLevel="0" collapsed="false">
      <c r="A61" s="11" t="s">
        <v>106</v>
      </c>
      <c r="B61" s="27" t="n">
        <v>5</v>
      </c>
      <c r="C61" s="27" t="n">
        <v>5</v>
      </c>
      <c r="D61" s="27" t="n">
        <v>5</v>
      </c>
      <c r="E61" s="20" t="n">
        <f aca="false">CHOOSE(Dashboard!$B$4,B61,C61,D61)</f>
        <v>5</v>
      </c>
      <c r="F61" s="26" t="s">
        <v>53</v>
      </c>
      <c r="G61" s="17"/>
    </row>
    <row r="62" customFormat="false" ht="15" hidden="false" customHeight="false" outlineLevel="0" collapsed="false">
      <c r="A62" s="11" t="s">
        <v>107</v>
      </c>
      <c r="B62" s="27" t="n">
        <v>20</v>
      </c>
      <c r="C62" s="27" t="n">
        <v>20</v>
      </c>
      <c r="D62" s="27" t="n">
        <v>20</v>
      </c>
      <c r="E62" s="20" t="n">
        <f aca="false">CHOOSE(Dashboard!$B$4,B62,C62,D62)</f>
        <v>20</v>
      </c>
      <c r="F62" s="26" t="s">
        <v>53</v>
      </c>
      <c r="G62" s="17"/>
    </row>
    <row r="64" customFormat="false" ht="15" hidden="false" customHeight="false" outlineLevel="0" collapsed="false">
      <c r="A64" s="7" t="s">
        <v>108</v>
      </c>
      <c r="B64" s="8"/>
      <c r="C64" s="8"/>
      <c r="D64" s="8"/>
      <c r="E64" s="8"/>
      <c r="F64" s="8"/>
      <c r="G64" s="8"/>
    </row>
    <row r="65" customFormat="false" ht="15" hidden="false" customHeight="false" outlineLevel="0" collapsed="false">
      <c r="A65" s="11" t="s">
        <v>109</v>
      </c>
      <c r="B65" s="27" t="n">
        <v>5</v>
      </c>
      <c r="C65" s="27" t="n">
        <v>5</v>
      </c>
      <c r="D65" s="27" t="n">
        <v>5</v>
      </c>
      <c r="E65" s="20" t="n">
        <f aca="false">CHOOSE(Dashboard!$B$4,B65,C65,D65)</f>
        <v>5</v>
      </c>
      <c r="F65" s="26" t="s">
        <v>103</v>
      </c>
      <c r="G65" s="17"/>
    </row>
    <row r="66" customFormat="false" ht="15" hidden="false" customHeight="false" outlineLevel="0" collapsed="false">
      <c r="A66" s="11" t="s">
        <v>110</v>
      </c>
      <c r="B66" s="29" t="n">
        <v>0.21</v>
      </c>
      <c r="C66" s="29" t="n">
        <v>0.21</v>
      </c>
      <c r="D66" s="29" t="n">
        <v>0.21</v>
      </c>
      <c r="E66" s="30" t="n">
        <f aca="false">CHOOSE(Dashboard!$B$4,B66,C66,D66)</f>
        <v>0.21</v>
      </c>
      <c r="F66" s="26" t="s">
        <v>58</v>
      </c>
      <c r="G66" s="17"/>
    </row>
    <row r="68" customFormat="false" ht="15" hidden="false" customHeight="false" outlineLevel="0" collapsed="false">
      <c r="A68" s="3" t="s">
        <v>111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9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112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113</v>
      </c>
    </row>
    <row r="3" customFormat="false" ht="15" hidden="false" customHeight="false" outlineLevel="0" collapsed="false">
      <c r="A3" s="4" t="s">
        <v>114</v>
      </c>
      <c r="C3" s="9" t="s">
        <v>115</v>
      </c>
      <c r="D3" s="9" t="s">
        <v>116</v>
      </c>
      <c r="E3" s="9" t="s">
        <v>117</v>
      </c>
      <c r="F3" s="9" t="s">
        <v>118</v>
      </c>
      <c r="G3" s="9" t="s">
        <v>119</v>
      </c>
      <c r="H3" s="9" t="s">
        <v>120</v>
      </c>
      <c r="I3" s="9" t="s">
        <v>121</v>
      </c>
      <c r="J3" s="9" t="s">
        <v>122</v>
      </c>
      <c r="K3" s="9" t="s">
        <v>123</v>
      </c>
      <c r="L3" s="9" t="s">
        <v>124</v>
      </c>
      <c r="M3" s="9" t="s">
        <v>125</v>
      </c>
      <c r="N3" s="9" t="s">
        <v>126</v>
      </c>
      <c r="O3" s="9" t="s">
        <v>127</v>
      </c>
      <c r="P3" s="9" t="s">
        <v>128</v>
      </c>
      <c r="Q3" s="9" t="s">
        <v>129</v>
      </c>
      <c r="R3" s="9" t="s">
        <v>130</v>
      </c>
      <c r="S3" s="9" t="s">
        <v>131</v>
      </c>
      <c r="T3" s="9" t="s">
        <v>132</v>
      </c>
      <c r="U3" s="9" t="s">
        <v>133</v>
      </c>
      <c r="V3" s="9" t="s">
        <v>134</v>
      </c>
      <c r="W3" s="9" t="s">
        <v>135</v>
      </c>
      <c r="X3" s="9" t="s">
        <v>136</v>
      </c>
      <c r="Y3" s="9" t="s">
        <v>137</v>
      </c>
      <c r="Z3" s="9" t="s">
        <v>138</v>
      </c>
      <c r="AA3" s="9" t="s">
        <v>139</v>
      </c>
      <c r="AB3" s="9" t="s">
        <v>140</v>
      </c>
      <c r="AC3" s="9" t="s">
        <v>141</v>
      </c>
      <c r="AD3" s="9" t="s">
        <v>142</v>
      </c>
      <c r="AE3" s="9" t="s">
        <v>143</v>
      </c>
      <c r="AF3" s="9" t="s">
        <v>144</v>
      </c>
      <c r="AG3" s="9" t="s">
        <v>145</v>
      </c>
      <c r="AH3" s="9" t="s">
        <v>146</v>
      </c>
      <c r="AI3" s="9" t="s">
        <v>147</v>
      </c>
      <c r="AJ3" s="9" t="s">
        <v>148</v>
      </c>
      <c r="AK3" s="9" t="s">
        <v>149</v>
      </c>
      <c r="AL3" s="9" t="s">
        <v>150</v>
      </c>
    </row>
    <row r="4" customFormat="false" ht="15" hidden="false" customHeight="false" outlineLevel="0" collapsed="false">
      <c r="A4" s="17" t="s">
        <v>151</v>
      </c>
      <c r="C4" s="33" t="n">
        <v>1</v>
      </c>
      <c r="D4" s="33" t="n">
        <v>2</v>
      </c>
      <c r="E4" s="33" t="n">
        <v>3</v>
      </c>
      <c r="F4" s="33" t="n">
        <v>4</v>
      </c>
      <c r="G4" s="33" t="n">
        <v>5</v>
      </c>
      <c r="H4" s="33" t="n">
        <v>6</v>
      </c>
      <c r="I4" s="33" t="n">
        <v>7</v>
      </c>
      <c r="J4" s="33" t="n">
        <v>8</v>
      </c>
      <c r="K4" s="33" t="n">
        <v>9</v>
      </c>
      <c r="L4" s="33" t="n">
        <v>10</v>
      </c>
      <c r="M4" s="33" t="n">
        <v>11</v>
      </c>
      <c r="N4" s="33" t="n">
        <v>12</v>
      </c>
      <c r="O4" s="33" t="n">
        <v>13</v>
      </c>
      <c r="P4" s="33" t="n">
        <v>14</v>
      </c>
      <c r="Q4" s="33" t="n">
        <v>15</v>
      </c>
      <c r="R4" s="33" t="n">
        <v>16</v>
      </c>
      <c r="S4" s="33" t="n">
        <v>17</v>
      </c>
      <c r="T4" s="33" t="n">
        <v>18</v>
      </c>
      <c r="U4" s="33" t="n">
        <v>19</v>
      </c>
      <c r="V4" s="33" t="n">
        <v>20</v>
      </c>
      <c r="W4" s="33" t="n">
        <v>21</v>
      </c>
      <c r="X4" s="33" t="n">
        <v>22</v>
      </c>
      <c r="Y4" s="33" t="n">
        <v>23</v>
      </c>
      <c r="Z4" s="33" t="n">
        <v>24</v>
      </c>
      <c r="AA4" s="33" t="n">
        <v>25</v>
      </c>
      <c r="AB4" s="33" t="n">
        <v>26</v>
      </c>
      <c r="AC4" s="33" t="n">
        <v>27</v>
      </c>
      <c r="AD4" s="33" t="n">
        <v>28</v>
      </c>
      <c r="AE4" s="33" t="n">
        <v>29</v>
      </c>
      <c r="AF4" s="33" t="n">
        <v>30</v>
      </c>
      <c r="AG4" s="33" t="n">
        <v>31</v>
      </c>
      <c r="AH4" s="33" t="n">
        <v>32</v>
      </c>
      <c r="AI4" s="33" t="n">
        <v>33</v>
      </c>
      <c r="AJ4" s="33" t="n">
        <v>34</v>
      </c>
      <c r="AK4" s="33" t="n">
        <v>35</v>
      </c>
      <c r="AL4" s="33" t="n">
        <v>36</v>
      </c>
    </row>
    <row r="5" customFormat="false" ht="15" hidden="false" customHeight="false" outlineLevel="0" collapsed="false">
      <c r="A5" s="17" t="s">
        <v>21</v>
      </c>
      <c r="C5" s="17" t="n">
        <f aca="false">ROUNDUP(C4*1/12,0)</f>
        <v>1</v>
      </c>
      <c r="D5" s="17" t="n">
        <f aca="false">ROUNDUP(D4*1/12,0)</f>
        <v>1</v>
      </c>
      <c r="E5" s="17" t="n">
        <f aca="false">ROUNDUP(E4*1/12,0)</f>
        <v>1</v>
      </c>
      <c r="F5" s="17" t="n">
        <f aca="false">ROUNDUP(F4*1/12,0)</f>
        <v>1</v>
      </c>
      <c r="G5" s="17" t="n">
        <f aca="false">ROUNDUP(G4*1/12,0)</f>
        <v>1</v>
      </c>
      <c r="H5" s="17" t="n">
        <f aca="false">ROUNDUP(H4*1/12,0)</f>
        <v>1</v>
      </c>
      <c r="I5" s="17" t="n">
        <f aca="false">ROUNDUP(I4*1/12,0)</f>
        <v>1</v>
      </c>
      <c r="J5" s="17" t="n">
        <f aca="false">ROUNDUP(J4*1/12,0)</f>
        <v>1</v>
      </c>
      <c r="K5" s="17" t="n">
        <f aca="false">ROUNDUP(K4*1/12,0)</f>
        <v>1</v>
      </c>
      <c r="L5" s="17" t="n">
        <f aca="false">ROUNDUP(L4*1/12,0)</f>
        <v>1</v>
      </c>
      <c r="M5" s="17" t="n">
        <f aca="false">ROUNDUP(M4*1/12,0)</f>
        <v>1</v>
      </c>
      <c r="N5" s="17" t="n">
        <f aca="false">ROUNDUP(N4*1/12,0)</f>
        <v>1</v>
      </c>
      <c r="O5" s="17" t="n">
        <f aca="false">ROUNDUP(O4*1/12,0)</f>
        <v>2</v>
      </c>
      <c r="P5" s="17" t="n">
        <f aca="false">ROUNDUP(P4*1/12,0)</f>
        <v>2</v>
      </c>
      <c r="Q5" s="17" t="n">
        <f aca="false">ROUNDUP(Q4*1/12,0)</f>
        <v>2</v>
      </c>
      <c r="R5" s="17" t="n">
        <f aca="false">ROUNDUP(R4*1/12,0)</f>
        <v>2</v>
      </c>
      <c r="S5" s="17" t="n">
        <f aca="false">ROUNDUP(S4*1/12,0)</f>
        <v>2</v>
      </c>
      <c r="T5" s="17" t="n">
        <f aca="false">ROUNDUP(T4*1/12,0)</f>
        <v>2</v>
      </c>
      <c r="U5" s="17" t="n">
        <f aca="false">ROUNDUP(U4*1/12,0)</f>
        <v>2</v>
      </c>
      <c r="V5" s="17" t="n">
        <f aca="false">ROUNDUP(V4*1/12,0)</f>
        <v>2</v>
      </c>
      <c r="W5" s="17" t="n">
        <f aca="false">ROUNDUP(W4*1/12,0)</f>
        <v>2</v>
      </c>
      <c r="X5" s="17" t="n">
        <f aca="false">ROUNDUP(X4*1/12,0)</f>
        <v>2</v>
      </c>
      <c r="Y5" s="17" t="n">
        <f aca="false">ROUNDUP(Y4*1/12,0)</f>
        <v>2</v>
      </c>
      <c r="Z5" s="17" t="n">
        <f aca="false">ROUNDUP(Z4*1/12,0)</f>
        <v>2</v>
      </c>
      <c r="AA5" s="17" t="n">
        <f aca="false">ROUNDUP(AA4*1/12,0)</f>
        <v>3</v>
      </c>
      <c r="AB5" s="17" t="n">
        <f aca="false">ROUNDUP(AB4*1/12,0)</f>
        <v>3</v>
      </c>
      <c r="AC5" s="17" t="n">
        <f aca="false">ROUNDUP(AC4*1/12,0)</f>
        <v>3</v>
      </c>
      <c r="AD5" s="17" t="n">
        <f aca="false">ROUNDUP(AD4*1/12,0)</f>
        <v>3</v>
      </c>
      <c r="AE5" s="17" t="n">
        <f aca="false">ROUNDUP(AE4*1/12,0)</f>
        <v>3</v>
      </c>
      <c r="AF5" s="17" t="n">
        <f aca="false">ROUNDUP(AF4*1/12,0)</f>
        <v>3</v>
      </c>
      <c r="AG5" s="17" t="n">
        <f aca="false">ROUNDUP(AG4*1/12,0)</f>
        <v>3</v>
      </c>
      <c r="AH5" s="17" t="n">
        <f aca="false">ROUNDUP(AH4*1/12,0)</f>
        <v>3</v>
      </c>
      <c r="AI5" s="17" t="n">
        <f aca="false">ROUNDUP(AI4*1/12,0)</f>
        <v>3</v>
      </c>
      <c r="AJ5" s="17" t="n">
        <f aca="false">ROUNDUP(AJ4*1/12,0)</f>
        <v>3</v>
      </c>
      <c r="AK5" s="17" t="n">
        <f aca="false">ROUNDUP(AK4*1/12,0)</f>
        <v>3</v>
      </c>
      <c r="AL5" s="17" t="n">
        <f aca="false">ROUNDUP(AL4*1/12,0)</f>
        <v>3</v>
      </c>
    </row>
    <row r="7" customFormat="false" ht="15" hidden="false" customHeight="false" outlineLevel="0" collapsed="false">
      <c r="A7" s="7" t="s">
        <v>152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153</v>
      </c>
      <c r="C8" s="34" t="n">
        <f aca="false">Headcount!C8</f>
        <v>7</v>
      </c>
      <c r="D8" s="34" t="n">
        <f aca="false">Headcount!D8</f>
        <v>7</v>
      </c>
      <c r="E8" s="34" t="n">
        <f aca="false">Headcount!E8</f>
        <v>7</v>
      </c>
      <c r="F8" s="34" t="n">
        <f aca="false">Headcount!F8</f>
        <v>7</v>
      </c>
      <c r="G8" s="34" t="n">
        <f aca="false">Headcount!G8</f>
        <v>7</v>
      </c>
      <c r="H8" s="34" t="n">
        <f aca="false">Headcount!H8</f>
        <v>7</v>
      </c>
      <c r="I8" s="34" t="n">
        <f aca="false">Headcount!I8</f>
        <v>7</v>
      </c>
      <c r="J8" s="34" t="n">
        <f aca="false">Headcount!J8</f>
        <v>7</v>
      </c>
      <c r="K8" s="34" t="n">
        <f aca="false">Headcount!K8</f>
        <v>7</v>
      </c>
      <c r="L8" s="34" t="n">
        <f aca="false">Headcount!L8</f>
        <v>7</v>
      </c>
      <c r="M8" s="34" t="n">
        <f aca="false">Headcount!M8</f>
        <v>7</v>
      </c>
      <c r="N8" s="34" t="n">
        <f aca="false">Headcount!N8</f>
        <v>7</v>
      </c>
      <c r="O8" s="34" t="n">
        <f aca="false">Headcount!O8</f>
        <v>7.84</v>
      </c>
      <c r="P8" s="34" t="n">
        <f aca="false">Headcount!P8</f>
        <v>7.84</v>
      </c>
      <c r="Q8" s="34" t="n">
        <f aca="false">Headcount!Q8</f>
        <v>7.84</v>
      </c>
      <c r="R8" s="34" t="n">
        <f aca="false">Headcount!R8</f>
        <v>7.84</v>
      </c>
      <c r="S8" s="34" t="n">
        <f aca="false">Headcount!S8</f>
        <v>7.84</v>
      </c>
      <c r="T8" s="34" t="n">
        <f aca="false">Headcount!T8</f>
        <v>7.84</v>
      </c>
      <c r="U8" s="34" t="n">
        <f aca="false">Headcount!U8</f>
        <v>7.84</v>
      </c>
      <c r="V8" s="34" t="n">
        <f aca="false">Headcount!V8</f>
        <v>7.84</v>
      </c>
      <c r="W8" s="34" t="n">
        <f aca="false">Headcount!W8</f>
        <v>7.84</v>
      </c>
      <c r="X8" s="34" t="n">
        <f aca="false">Headcount!X8</f>
        <v>7.84</v>
      </c>
      <c r="Y8" s="34" t="n">
        <f aca="false">Headcount!Y8</f>
        <v>7.84</v>
      </c>
      <c r="Z8" s="34" t="n">
        <f aca="false">Headcount!Z8</f>
        <v>7.84</v>
      </c>
      <c r="AA8" s="34" t="n">
        <f aca="false">Headcount!AA8</f>
        <v>8.7808</v>
      </c>
      <c r="AB8" s="34" t="n">
        <f aca="false">Headcount!AB8</f>
        <v>8.7808</v>
      </c>
      <c r="AC8" s="34" t="n">
        <f aca="false">Headcount!AC8</f>
        <v>8.7808</v>
      </c>
      <c r="AD8" s="34" t="n">
        <f aca="false">Headcount!AD8</f>
        <v>8.7808</v>
      </c>
      <c r="AE8" s="34" t="n">
        <f aca="false">Headcount!AE8</f>
        <v>8.7808</v>
      </c>
      <c r="AF8" s="34" t="n">
        <f aca="false">Headcount!AF8</f>
        <v>8.7808</v>
      </c>
      <c r="AG8" s="34" t="n">
        <f aca="false">Headcount!AG8</f>
        <v>8.7808</v>
      </c>
      <c r="AH8" s="34" t="n">
        <f aca="false">Headcount!AH8</f>
        <v>8.7808</v>
      </c>
      <c r="AI8" s="34" t="n">
        <f aca="false">Headcount!AI8</f>
        <v>8.7808</v>
      </c>
      <c r="AJ8" s="34" t="n">
        <f aca="false">Headcount!AJ8</f>
        <v>8.7808</v>
      </c>
      <c r="AK8" s="34" t="n">
        <f aca="false">Headcount!AK8</f>
        <v>8.7808</v>
      </c>
      <c r="AL8" s="34" t="n">
        <f aca="false">Headcount!AL8</f>
        <v>8.7808</v>
      </c>
    </row>
    <row r="9" customFormat="false" ht="15" hidden="false" customHeight="false" outlineLevel="0" collapsed="false">
      <c r="A9" s="11" t="s">
        <v>154</v>
      </c>
      <c r="C9" s="19" t="n">
        <f aca="false">C8*Inputs!$E$7*Inputs!$E$8*1</f>
        <v>367.5</v>
      </c>
      <c r="D9" s="19" t="n">
        <f aca="false">D8*Inputs!$E$7*Inputs!$E$8*1</f>
        <v>367.5</v>
      </c>
      <c r="E9" s="19" t="n">
        <f aca="false">E8*Inputs!$E$7*Inputs!$E$8*1</f>
        <v>367.5</v>
      </c>
      <c r="F9" s="19" t="n">
        <f aca="false">F8*Inputs!$E$7*Inputs!$E$8*1</f>
        <v>367.5</v>
      </c>
      <c r="G9" s="19" t="n">
        <f aca="false">G8*Inputs!$E$7*Inputs!$E$8*1</f>
        <v>367.5</v>
      </c>
      <c r="H9" s="19" t="n">
        <f aca="false">H8*Inputs!$E$7*Inputs!$E$8*1</f>
        <v>367.5</v>
      </c>
      <c r="I9" s="19" t="n">
        <f aca="false">I8*Inputs!$E$7*Inputs!$E$8*1</f>
        <v>367.5</v>
      </c>
      <c r="J9" s="19" t="n">
        <f aca="false">J8*Inputs!$E$7*Inputs!$E$8*1</f>
        <v>367.5</v>
      </c>
      <c r="K9" s="19" t="n">
        <f aca="false">K8*Inputs!$E$7*Inputs!$E$8*1</f>
        <v>367.5</v>
      </c>
      <c r="L9" s="19" t="n">
        <f aca="false">L8*Inputs!$E$7*Inputs!$E$8*1</f>
        <v>367.5</v>
      </c>
      <c r="M9" s="19" t="n">
        <f aca="false">M8*Inputs!$E$7*Inputs!$E$8*1</f>
        <v>367.5</v>
      </c>
      <c r="N9" s="19" t="n">
        <f aca="false">N8*Inputs!$E$7*Inputs!$E$8*1</f>
        <v>367.5</v>
      </c>
      <c r="O9" s="19" t="n">
        <f aca="false">O8*Inputs!$E$7*Inputs!$E$8*1</f>
        <v>411.6</v>
      </c>
      <c r="P9" s="19" t="n">
        <f aca="false">P8*Inputs!$E$7*Inputs!$E$8*1</f>
        <v>411.6</v>
      </c>
      <c r="Q9" s="19" t="n">
        <f aca="false">Q8*Inputs!$E$7*Inputs!$E$8*1</f>
        <v>411.6</v>
      </c>
      <c r="R9" s="19" t="n">
        <f aca="false">R8*Inputs!$E$7*Inputs!$E$8*1</f>
        <v>411.6</v>
      </c>
      <c r="S9" s="19" t="n">
        <f aca="false">S8*Inputs!$E$7*Inputs!$E$8*1</f>
        <v>411.6</v>
      </c>
      <c r="T9" s="19" t="n">
        <f aca="false">T8*Inputs!$E$7*Inputs!$E$8*1</f>
        <v>411.6</v>
      </c>
      <c r="U9" s="19" t="n">
        <f aca="false">U8*Inputs!$E$7*Inputs!$E$8*1</f>
        <v>411.6</v>
      </c>
      <c r="V9" s="19" t="n">
        <f aca="false">V8*Inputs!$E$7*Inputs!$E$8*1</f>
        <v>411.6</v>
      </c>
      <c r="W9" s="19" t="n">
        <f aca="false">W8*Inputs!$E$7*Inputs!$E$8*1</f>
        <v>411.6</v>
      </c>
      <c r="X9" s="19" t="n">
        <f aca="false">X8*Inputs!$E$7*Inputs!$E$8*1</f>
        <v>411.6</v>
      </c>
      <c r="Y9" s="19" t="n">
        <f aca="false">Y8*Inputs!$E$7*Inputs!$E$8*1</f>
        <v>411.6</v>
      </c>
      <c r="Z9" s="19" t="n">
        <f aca="false">Z8*Inputs!$E$7*Inputs!$E$8*1</f>
        <v>411.6</v>
      </c>
      <c r="AA9" s="19" t="n">
        <f aca="false">AA8*Inputs!$E$7*Inputs!$E$8*1</f>
        <v>460.992</v>
      </c>
      <c r="AB9" s="19" t="n">
        <f aca="false">AB8*Inputs!$E$7*Inputs!$E$8*1</f>
        <v>460.992</v>
      </c>
      <c r="AC9" s="19" t="n">
        <f aca="false">AC8*Inputs!$E$7*Inputs!$E$8*1</f>
        <v>460.992</v>
      </c>
      <c r="AD9" s="19" t="n">
        <f aca="false">AD8*Inputs!$E$7*Inputs!$E$8*1</f>
        <v>460.992</v>
      </c>
      <c r="AE9" s="19" t="n">
        <f aca="false">AE8*Inputs!$E$7*Inputs!$E$8*1</f>
        <v>460.992</v>
      </c>
      <c r="AF9" s="19" t="n">
        <f aca="false">AF8*Inputs!$E$7*Inputs!$E$8*1</f>
        <v>460.992</v>
      </c>
      <c r="AG9" s="19" t="n">
        <f aca="false">AG8*Inputs!$E$7*Inputs!$E$8*1</f>
        <v>460.992</v>
      </c>
      <c r="AH9" s="19" t="n">
        <f aca="false">AH8*Inputs!$E$7*Inputs!$E$8*1</f>
        <v>460.992</v>
      </c>
      <c r="AI9" s="19" t="n">
        <f aca="false">AI8*Inputs!$E$7*Inputs!$E$8*1</f>
        <v>460.992</v>
      </c>
      <c r="AJ9" s="19" t="n">
        <f aca="false">AJ8*Inputs!$E$7*Inputs!$E$8*1</f>
        <v>460.992</v>
      </c>
      <c r="AK9" s="19" t="n">
        <f aca="false">AK8*Inputs!$E$7*Inputs!$E$8*1</f>
        <v>460.992</v>
      </c>
      <c r="AL9" s="19" t="n">
        <f aca="false">AL8*Inputs!$E$7*Inputs!$E$8*1</f>
        <v>460.992</v>
      </c>
    </row>
    <row r="10" customFormat="false" ht="15" hidden="false" customHeight="false" outlineLevel="0" collapsed="false">
      <c r="A10" s="11" t="s">
        <v>155</v>
      </c>
      <c r="C10" s="13" t="n">
        <f aca="false">IF(AND(MOD(C$4-1,12)&gt;=5,MOD(C$4-1,12)&lt;=7),1+Inputs!$E$17,1-Inputs!$E$17/3)</f>
        <v>0.916666666666667</v>
      </c>
      <c r="D10" s="13" t="n">
        <f aca="false">IF(AND(MOD(D$4-1,12)&gt;=5,MOD(D$4-1,12)&lt;=7),1+Inputs!$E$17,1-Inputs!$E$17/3)</f>
        <v>0.916666666666667</v>
      </c>
      <c r="E10" s="13" t="n">
        <f aca="false">IF(AND(MOD(E$4-1,12)&gt;=5,MOD(E$4-1,12)&lt;=7),1+Inputs!$E$17,1-Inputs!$E$17/3)</f>
        <v>0.916666666666667</v>
      </c>
      <c r="F10" s="13" t="n">
        <f aca="false">IF(AND(MOD(F$4-1,12)&gt;=5,MOD(F$4-1,12)&lt;=7),1+Inputs!$E$17,1-Inputs!$E$17/3)</f>
        <v>0.916666666666667</v>
      </c>
      <c r="G10" s="13" t="n">
        <f aca="false">IF(AND(MOD(G$4-1,12)&gt;=5,MOD(G$4-1,12)&lt;=7),1+Inputs!$E$17,1-Inputs!$E$17/3)</f>
        <v>0.916666666666667</v>
      </c>
      <c r="H10" s="13" t="n">
        <f aca="false">IF(AND(MOD(H$4-1,12)&gt;=5,MOD(H$4-1,12)&lt;=7),1+Inputs!$E$17,1-Inputs!$E$17/3)</f>
        <v>1.25</v>
      </c>
      <c r="I10" s="13" t="n">
        <f aca="false">IF(AND(MOD(I$4-1,12)&gt;=5,MOD(I$4-1,12)&lt;=7),1+Inputs!$E$17,1-Inputs!$E$17/3)</f>
        <v>1.25</v>
      </c>
      <c r="J10" s="13" t="n">
        <f aca="false">IF(AND(MOD(J$4-1,12)&gt;=5,MOD(J$4-1,12)&lt;=7),1+Inputs!$E$17,1-Inputs!$E$17/3)</f>
        <v>1.25</v>
      </c>
      <c r="K10" s="13" t="n">
        <f aca="false">IF(AND(MOD(K$4-1,12)&gt;=5,MOD(K$4-1,12)&lt;=7),1+Inputs!$E$17,1-Inputs!$E$17/3)</f>
        <v>0.916666666666667</v>
      </c>
      <c r="L10" s="13" t="n">
        <f aca="false">IF(AND(MOD(L$4-1,12)&gt;=5,MOD(L$4-1,12)&lt;=7),1+Inputs!$E$17,1-Inputs!$E$17/3)</f>
        <v>0.916666666666667</v>
      </c>
      <c r="M10" s="13" t="n">
        <f aca="false">IF(AND(MOD(M$4-1,12)&gt;=5,MOD(M$4-1,12)&lt;=7),1+Inputs!$E$17,1-Inputs!$E$17/3)</f>
        <v>0.916666666666667</v>
      </c>
      <c r="N10" s="13" t="n">
        <f aca="false">IF(AND(MOD(N$4-1,12)&gt;=5,MOD(N$4-1,12)&lt;=7),1+Inputs!$E$17,1-Inputs!$E$17/3)</f>
        <v>0.916666666666667</v>
      </c>
      <c r="O10" s="13" t="n">
        <f aca="false">IF(AND(MOD(O$4-1,12)&gt;=5,MOD(O$4-1,12)&lt;=7),1+Inputs!$E$17,1-Inputs!$E$17/3)</f>
        <v>0.916666666666667</v>
      </c>
      <c r="P10" s="13" t="n">
        <f aca="false">IF(AND(MOD(P$4-1,12)&gt;=5,MOD(P$4-1,12)&lt;=7),1+Inputs!$E$17,1-Inputs!$E$17/3)</f>
        <v>0.916666666666667</v>
      </c>
      <c r="Q10" s="13" t="n">
        <f aca="false">IF(AND(MOD(Q$4-1,12)&gt;=5,MOD(Q$4-1,12)&lt;=7),1+Inputs!$E$17,1-Inputs!$E$17/3)</f>
        <v>0.916666666666667</v>
      </c>
      <c r="R10" s="13" t="n">
        <f aca="false">IF(AND(MOD(R$4-1,12)&gt;=5,MOD(R$4-1,12)&lt;=7),1+Inputs!$E$17,1-Inputs!$E$17/3)</f>
        <v>0.916666666666667</v>
      </c>
      <c r="S10" s="13" t="n">
        <f aca="false">IF(AND(MOD(S$4-1,12)&gt;=5,MOD(S$4-1,12)&lt;=7),1+Inputs!$E$17,1-Inputs!$E$17/3)</f>
        <v>0.916666666666667</v>
      </c>
      <c r="T10" s="13" t="n">
        <f aca="false">IF(AND(MOD(T$4-1,12)&gt;=5,MOD(T$4-1,12)&lt;=7),1+Inputs!$E$17,1-Inputs!$E$17/3)</f>
        <v>1.25</v>
      </c>
      <c r="U10" s="13" t="n">
        <f aca="false">IF(AND(MOD(U$4-1,12)&gt;=5,MOD(U$4-1,12)&lt;=7),1+Inputs!$E$17,1-Inputs!$E$17/3)</f>
        <v>1.25</v>
      </c>
      <c r="V10" s="13" t="n">
        <f aca="false">IF(AND(MOD(V$4-1,12)&gt;=5,MOD(V$4-1,12)&lt;=7),1+Inputs!$E$17,1-Inputs!$E$17/3)</f>
        <v>1.25</v>
      </c>
      <c r="W10" s="13" t="n">
        <f aca="false">IF(AND(MOD(W$4-1,12)&gt;=5,MOD(W$4-1,12)&lt;=7),1+Inputs!$E$17,1-Inputs!$E$17/3)</f>
        <v>0.916666666666667</v>
      </c>
      <c r="X10" s="13" t="n">
        <f aca="false">IF(AND(MOD(X$4-1,12)&gt;=5,MOD(X$4-1,12)&lt;=7),1+Inputs!$E$17,1-Inputs!$E$17/3)</f>
        <v>0.916666666666667</v>
      </c>
      <c r="Y10" s="13" t="n">
        <f aca="false">IF(AND(MOD(Y$4-1,12)&gt;=5,MOD(Y$4-1,12)&lt;=7),1+Inputs!$E$17,1-Inputs!$E$17/3)</f>
        <v>0.916666666666667</v>
      </c>
      <c r="Z10" s="13" t="n">
        <f aca="false">IF(AND(MOD(Z$4-1,12)&gt;=5,MOD(Z$4-1,12)&lt;=7),1+Inputs!$E$17,1-Inputs!$E$17/3)</f>
        <v>0.916666666666667</v>
      </c>
      <c r="AA10" s="13" t="n">
        <f aca="false">IF(AND(MOD(AA$4-1,12)&gt;=5,MOD(AA$4-1,12)&lt;=7),1+Inputs!$E$17,1-Inputs!$E$17/3)</f>
        <v>0.916666666666667</v>
      </c>
      <c r="AB10" s="13" t="n">
        <f aca="false">IF(AND(MOD(AB$4-1,12)&gt;=5,MOD(AB$4-1,12)&lt;=7),1+Inputs!$E$17,1-Inputs!$E$17/3)</f>
        <v>0.916666666666667</v>
      </c>
      <c r="AC10" s="13" t="n">
        <f aca="false">IF(AND(MOD(AC$4-1,12)&gt;=5,MOD(AC$4-1,12)&lt;=7),1+Inputs!$E$17,1-Inputs!$E$17/3)</f>
        <v>0.916666666666667</v>
      </c>
      <c r="AD10" s="13" t="n">
        <f aca="false">IF(AND(MOD(AD$4-1,12)&gt;=5,MOD(AD$4-1,12)&lt;=7),1+Inputs!$E$17,1-Inputs!$E$17/3)</f>
        <v>0.916666666666667</v>
      </c>
      <c r="AE10" s="13" t="n">
        <f aca="false">IF(AND(MOD(AE$4-1,12)&gt;=5,MOD(AE$4-1,12)&lt;=7),1+Inputs!$E$17,1-Inputs!$E$17/3)</f>
        <v>0.916666666666667</v>
      </c>
      <c r="AF10" s="13" t="n">
        <f aca="false">IF(AND(MOD(AF$4-1,12)&gt;=5,MOD(AF$4-1,12)&lt;=7),1+Inputs!$E$17,1-Inputs!$E$17/3)</f>
        <v>1.25</v>
      </c>
      <c r="AG10" s="13" t="n">
        <f aca="false">IF(AND(MOD(AG$4-1,12)&gt;=5,MOD(AG$4-1,12)&lt;=7),1+Inputs!$E$17,1-Inputs!$E$17/3)</f>
        <v>1.25</v>
      </c>
      <c r="AH10" s="13" t="n">
        <f aca="false">IF(AND(MOD(AH$4-1,12)&gt;=5,MOD(AH$4-1,12)&lt;=7),1+Inputs!$E$17,1-Inputs!$E$17/3)</f>
        <v>1.25</v>
      </c>
      <c r="AI10" s="13" t="n">
        <f aca="false">IF(AND(MOD(AI$4-1,12)&gt;=5,MOD(AI$4-1,12)&lt;=7),1+Inputs!$E$17,1-Inputs!$E$17/3)</f>
        <v>0.916666666666667</v>
      </c>
      <c r="AJ10" s="13" t="n">
        <f aca="false">IF(AND(MOD(AJ$4-1,12)&gt;=5,MOD(AJ$4-1,12)&lt;=7),1+Inputs!$E$17,1-Inputs!$E$17/3)</f>
        <v>0.916666666666667</v>
      </c>
      <c r="AK10" s="13" t="n">
        <f aca="false">IF(AND(MOD(AK$4-1,12)&gt;=5,MOD(AK$4-1,12)&lt;=7),1+Inputs!$E$17,1-Inputs!$E$17/3)</f>
        <v>0.916666666666667</v>
      </c>
      <c r="AL10" s="13" t="n">
        <f aca="false">IF(AND(MOD(AL$4-1,12)&gt;=5,MOD(AL$4-1,12)&lt;=7),1+Inputs!$E$17,1-Inputs!$E$17/3)</f>
        <v>0.916666666666667</v>
      </c>
    </row>
    <row r="11" customFormat="false" ht="15" hidden="false" customHeight="false" outlineLevel="0" collapsed="false">
      <c r="A11" s="11" t="s">
        <v>156</v>
      </c>
      <c r="C11" s="19" t="n">
        <f aca="false">-C34/MAX(1,Inputs!$E$13)</f>
        <v>180</v>
      </c>
      <c r="D11" s="19" t="n">
        <f aca="false">-D34/MAX(1,Inputs!$E$13)</f>
        <v>180</v>
      </c>
      <c r="E11" s="19" t="n">
        <f aca="false">-E34/MAX(1,Inputs!$E$13)</f>
        <v>180</v>
      </c>
      <c r="F11" s="19" t="n">
        <f aca="false">-F34/MAX(1,Inputs!$E$13)</f>
        <v>180</v>
      </c>
      <c r="G11" s="19" t="n">
        <f aca="false">-G34/MAX(1,Inputs!$E$13)</f>
        <v>180</v>
      </c>
      <c r="H11" s="19" t="n">
        <f aca="false">-H34/MAX(1,Inputs!$E$13)</f>
        <v>180</v>
      </c>
      <c r="I11" s="19" t="n">
        <f aca="false">-I34/MAX(1,Inputs!$E$13)</f>
        <v>180</v>
      </c>
      <c r="J11" s="19" t="n">
        <f aca="false">-J34/MAX(1,Inputs!$E$13)</f>
        <v>180</v>
      </c>
      <c r="K11" s="19" t="n">
        <f aca="false">-K34/MAX(1,Inputs!$E$13)</f>
        <v>180</v>
      </c>
      <c r="L11" s="19" t="n">
        <f aca="false">-L34/MAX(1,Inputs!$E$13)</f>
        <v>180</v>
      </c>
      <c r="M11" s="19" t="n">
        <f aca="false">-M34/MAX(1,Inputs!$E$13)</f>
        <v>180</v>
      </c>
      <c r="N11" s="19" t="n">
        <f aca="false">-N34/MAX(1,Inputs!$E$13)</f>
        <v>180</v>
      </c>
      <c r="O11" s="19" t="n">
        <f aca="false">-O34/MAX(1,Inputs!$E$13)</f>
        <v>207</v>
      </c>
      <c r="P11" s="19" t="n">
        <f aca="false">-P34/MAX(1,Inputs!$E$13)</f>
        <v>207</v>
      </c>
      <c r="Q11" s="19" t="n">
        <f aca="false">-Q34/MAX(1,Inputs!$E$13)</f>
        <v>207</v>
      </c>
      <c r="R11" s="19" t="n">
        <f aca="false">-R34/MAX(1,Inputs!$E$13)</f>
        <v>207</v>
      </c>
      <c r="S11" s="19" t="n">
        <f aca="false">-S34/MAX(1,Inputs!$E$13)</f>
        <v>207</v>
      </c>
      <c r="T11" s="19" t="n">
        <f aca="false">-T34/MAX(1,Inputs!$E$13)</f>
        <v>207</v>
      </c>
      <c r="U11" s="19" t="n">
        <f aca="false">-U34/MAX(1,Inputs!$E$13)</f>
        <v>207</v>
      </c>
      <c r="V11" s="19" t="n">
        <f aca="false">-V34/MAX(1,Inputs!$E$13)</f>
        <v>207</v>
      </c>
      <c r="W11" s="19" t="n">
        <f aca="false">-W34/MAX(1,Inputs!$E$13)</f>
        <v>207</v>
      </c>
      <c r="X11" s="19" t="n">
        <f aca="false">-X34/MAX(1,Inputs!$E$13)</f>
        <v>207</v>
      </c>
      <c r="Y11" s="19" t="n">
        <f aca="false">-Y34/MAX(1,Inputs!$E$13)</f>
        <v>207</v>
      </c>
      <c r="Z11" s="19" t="n">
        <f aca="false">-Z34/MAX(1,Inputs!$E$13)</f>
        <v>207</v>
      </c>
      <c r="AA11" s="19" t="n">
        <f aca="false">-AA34/MAX(1,Inputs!$E$13)</f>
        <v>238.05</v>
      </c>
      <c r="AB11" s="19" t="n">
        <f aca="false">-AB34/MAX(1,Inputs!$E$13)</f>
        <v>238.05</v>
      </c>
      <c r="AC11" s="19" t="n">
        <f aca="false">-AC34/MAX(1,Inputs!$E$13)</f>
        <v>238.05</v>
      </c>
      <c r="AD11" s="19" t="n">
        <f aca="false">-AD34/MAX(1,Inputs!$E$13)</f>
        <v>238.05</v>
      </c>
      <c r="AE11" s="19" t="n">
        <f aca="false">-AE34/MAX(1,Inputs!$E$13)</f>
        <v>238.05</v>
      </c>
      <c r="AF11" s="19" t="n">
        <f aca="false">-AF34/MAX(1,Inputs!$E$13)</f>
        <v>238.05</v>
      </c>
      <c r="AG11" s="19" t="n">
        <f aca="false">-AG34/MAX(1,Inputs!$E$13)</f>
        <v>238.05</v>
      </c>
      <c r="AH11" s="19" t="n">
        <f aca="false">-AH34/MAX(1,Inputs!$E$13)</f>
        <v>238.05</v>
      </c>
      <c r="AI11" s="19" t="n">
        <f aca="false">-AI34/MAX(1,Inputs!$E$13)</f>
        <v>238.05</v>
      </c>
      <c r="AJ11" s="19" t="n">
        <f aca="false">-AJ34/MAX(1,Inputs!$E$13)</f>
        <v>238.05</v>
      </c>
      <c r="AK11" s="19" t="n">
        <f aca="false">-AK34/MAX(1,Inputs!$E$13)</f>
        <v>238.05</v>
      </c>
      <c r="AL11" s="19" t="n">
        <f aca="false">-AL34/MAX(1,Inputs!$E$13)</f>
        <v>238.05</v>
      </c>
    </row>
    <row r="12" customFormat="false" ht="15" hidden="false" customHeight="false" outlineLevel="0" collapsed="false">
      <c r="A12" s="11" t="s">
        <v>157</v>
      </c>
      <c r="C12" s="19" t="n">
        <f aca="false">C11*Inputs!$E$14*C10</f>
        <v>74.25</v>
      </c>
      <c r="D12" s="19" t="n">
        <f aca="false">D11*Inputs!$E$14*D10</f>
        <v>74.25</v>
      </c>
      <c r="E12" s="19" t="n">
        <f aca="false">E11*Inputs!$E$14*E10</f>
        <v>74.25</v>
      </c>
      <c r="F12" s="19" t="n">
        <f aca="false">F11*Inputs!$E$14*F10</f>
        <v>74.25</v>
      </c>
      <c r="G12" s="19" t="n">
        <f aca="false">G11*Inputs!$E$14*G10</f>
        <v>74.25</v>
      </c>
      <c r="H12" s="19" t="n">
        <f aca="false">H11*Inputs!$E$14*H10</f>
        <v>101.25</v>
      </c>
      <c r="I12" s="19" t="n">
        <f aca="false">I11*Inputs!$E$14*I10</f>
        <v>101.25</v>
      </c>
      <c r="J12" s="19" t="n">
        <f aca="false">J11*Inputs!$E$14*J10</f>
        <v>101.25</v>
      </c>
      <c r="K12" s="19" t="n">
        <f aca="false">K11*Inputs!$E$14*K10</f>
        <v>74.25</v>
      </c>
      <c r="L12" s="19" t="n">
        <f aca="false">L11*Inputs!$E$14*L10</f>
        <v>74.25</v>
      </c>
      <c r="M12" s="19" t="n">
        <f aca="false">M11*Inputs!$E$14*M10</f>
        <v>74.25</v>
      </c>
      <c r="N12" s="19" t="n">
        <f aca="false">N11*Inputs!$E$14*N10</f>
        <v>74.25</v>
      </c>
      <c r="O12" s="19" t="n">
        <f aca="false">O11*Inputs!$E$14*O10</f>
        <v>85.3875</v>
      </c>
      <c r="P12" s="19" t="n">
        <f aca="false">P11*Inputs!$E$14*P10</f>
        <v>85.3875</v>
      </c>
      <c r="Q12" s="19" t="n">
        <f aca="false">Q11*Inputs!$E$14*Q10</f>
        <v>85.3875</v>
      </c>
      <c r="R12" s="19" t="n">
        <f aca="false">R11*Inputs!$E$14*R10</f>
        <v>85.3875</v>
      </c>
      <c r="S12" s="19" t="n">
        <f aca="false">S11*Inputs!$E$14*S10</f>
        <v>85.3875</v>
      </c>
      <c r="T12" s="19" t="n">
        <f aca="false">T11*Inputs!$E$14*T10</f>
        <v>116.4375</v>
      </c>
      <c r="U12" s="19" t="n">
        <f aca="false">U11*Inputs!$E$14*U10</f>
        <v>116.4375</v>
      </c>
      <c r="V12" s="19" t="n">
        <f aca="false">V11*Inputs!$E$14*V10</f>
        <v>116.4375</v>
      </c>
      <c r="W12" s="19" t="n">
        <f aca="false">W11*Inputs!$E$14*W10</f>
        <v>85.3875</v>
      </c>
      <c r="X12" s="19" t="n">
        <f aca="false">X11*Inputs!$E$14*X10</f>
        <v>85.3875</v>
      </c>
      <c r="Y12" s="19" t="n">
        <f aca="false">Y11*Inputs!$E$14*Y10</f>
        <v>85.3875</v>
      </c>
      <c r="Z12" s="19" t="n">
        <f aca="false">Z11*Inputs!$E$14*Z10</f>
        <v>85.3875</v>
      </c>
      <c r="AA12" s="19" t="n">
        <f aca="false">AA11*Inputs!$E$14*AA10</f>
        <v>98.195625</v>
      </c>
      <c r="AB12" s="19" t="n">
        <f aca="false">AB11*Inputs!$E$14*AB10</f>
        <v>98.195625</v>
      </c>
      <c r="AC12" s="19" t="n">
        <f aca="false">AC11*Inputs!$E$14*AC10</f>
        <v>98.195625</v>
      </c>
      <c r="AD12" s="19" t="n">
        <f aca="false">AD11*Inputs!$E$14*AD10</f>
        <v>98.195625</v>
      </c>
      <c r="AE12" s="19" t="n">
        <f aca="false">AE11*Inputs!$E$14*AE10</f>
        <v>98.195625</v>
      </c>
      <c r="AF12" s="19" t="n">
        <f aca="false">AF11*Inputs!$E$14*AF10</f>
        <v>133.903125</v>
      </c>
      <c r="AG12" s="19" t="n">
        <f aca="false">AG11*Inputs!$E$14*AG10</f>
        <v>133.903125</v>
      </c>
      <c r="AH12" s="19" t="n">
        <f aca="false">AH11*Inputs!$E$14*AH10</f>
        <v>133.903125</v>
      </c>
      <c r="AI12" s="19" t="n">
        <f aca="false">AI11*Inputs!$E$14*AI10</f>
        <v>98.195625</v>
      </c>
      <c r="AJ12" s="19" t="n">
        <f aca="false">AJ11*Inputs!$E$14*AJ10</f>
        <v>98.195625</v>
      </c>
      <c r="AK12" s="19" t="n">
        <f aca="false">AK11*Inputs!$E$14*AK10</f>
        <v>98.195625</v>
      </c>
      <c r="AL12" s="19" t="n">
        <f aca="false">AL11*Inputs!$E$14*AL10</f>
        <v>98.195625</v>
      </c>
    </row>
    <row r="13" customFormat="false" ht="15" hidden="false" customHeight="false" outlineLevel="0" collapsed="false">
      <c r="A13" s="11" t="s">
        <v>158</v>
      </c>
      <c r="C13" s="19" t="n">
        <f aca="false">Inputs!$E$15*(1+Inputs!$E$16)^(C$5-1)*1*C10</f>
        <v>210.833333333333</v>
      </c>
      <c r="D13" s="19" t="n">
        <f aca="false">Inputs!$E$15*(1+Inputs!$E$16)^(D$5-1)*1*D10</f>
        <v>210.833333333333</v>
      </c>
      <c r="E13" s="19" t="n">
        <f aca="false">Inputs!$E$15*(1+Inputs!$E$16)^(E$5-1)*1*E10</f>
        <v>210.833333333333</v>
      </c>
      <c r="F13" s="19" t="n">
        <f aca="false">Inputs!$E$15*(1+Inputs!$E$16)^(F$5-1)*1*F10</f>
        <v>210.833333333333</v>
      </c>
      <c r="G13" s="19" t="n">
        <f aca="false">Inputs!$E$15*(1+Inputs!$E$16)^(G$5-1)*1*G10</f>
        <v>210.833333333333</v>
      </c>
      <c r="H13" s="19" t="n">
        <f aca="false">Inputs!$E$15*(1+Inputs!$E$16)^(H$5-1)*1*H10</f>
        <v>287.5</v>
      </c>
      <c r="I13" s="19" t="n">
        <f aca="false">Inputs!$E$15*(1+Inputs!$E$16)^(I$5-1)*1*I10</f>
        <v>287.5</v>
      </c>
      <c r="J13" s="19" t="n">
        <f aca="false">Inputs!$E$15*(1+Inputs!$E$16)^(J$5-1)*1*J10</f>
        <v>287.5</v>
      </c>
      <c r="K13" s="19" t="n">
        <f aca="false">Inputs!$E$15*(1+Inputs!$E$16)^(K$5-1)*1*K10</f>
        <v>210.833333333333</v>
      </c>
      <c r="L13" s="19" t="n">
        <f aca="false">Inputs!$E$15*(1+Inputs!$E$16)^(L$5-1)*1*L10</f>
        <v>210.833333333333</v>
      </c>
      <c r="M13" s="19" t="n">
        <f aca="false">Inputs!$E$15*(1+Inputs!$E$16)^(M$5-1)*1*M10</f>
        <v>210.833333333333</v>
      </c>
      <c r="N13" s="19" t="n">
        <f aca="false">Inputs!$E$15*(1+Inputs!$E$16)^(N$5-1)*1*N10</f>
        <v>210.833333333333</v>
      </c>
      <c r="O13" s="19" t="n">
        <f aca="false">Inputs!$E$15*(1+Inputs!$E$16)^(O$5-1)*1*O10</f>
        <v>242.458333333333</v>
      </c>
      <c r="P13" s="19" t="n">
        <f aca="false">Inputs!$E$15*(1+Inputs!$E$16)^(P$5-1)*1*P10</f>
        <v>242.458333333333</v>
      </c>
      <c r="Q13" s="19" t="n">
        <f aca="false">Inputs!$E$15*(1+Inputs!$E$16)^(Q$5-1)*1*Q10</f>
        <v>242.458333333333</v>
      </c>
      <c r="R13" s="19" t="n">
        <f aca="false">Inputs!$E$15*(1+Inputs!$E$16)^(R$5-1)*1*R10</f>
        <v>242.458333333333</v>
      </c>
      <c r="S13" s="19" t="n">
        <f aca="false">Inputs!$E$15*(1+Inputs!$E$16)^(S$5-1)*1*S10</f>
        <v>242.458333333333</v>
      </c>
      <c r="T13" s="19" t="n">
        <f aca="false">Inputs!$E$15*(1+Inputs!$E$16)^(T$5-1)*1*T10</f>
        <v>330.625</v>
      </c>
      <c r="U13" s="19" t="n">
        <f aca="false">Inputs!$E$15*(1+Inputs!$E$16)^(U$5-1)*1*U10</f>
        <v>330.625</v>
      </c>
      <c r="V13" s="19" t="n">
        <f aca="false">Inputs!$E$15*(1+Inputs!$E$16)^(V$5-1)*1*V10</f>
        <v>330.625</v>
      </c>
      <c r="W13" s="19" t="n">
        <f aca="false">Inputs!$E$15*(1+Inputs!$E$16)^(W$5-1)*1*W10</f>
        <v>242.458333333333</v>
      </c>
      <c r="X13" s="19" t="n">
        <f aca="false">Inputs!$E$15*(1+Inputs!$E$16)^(X$5-1)*1*X10</f>
        <v>242.458333333333</v>
      </c>
      <c r="Y13" s="19" t="n">
        <f aca="false">Inputs!$E$15*(1+Inputs!$E$16)^(Y$5-1)*1*Y10</f>
        <v>242.458333333333</v>
      </c>
      <c r="Z13" s="19" t="n">
        <f aca="false">Inputs!$E$15*(1+Inputs!$E$16)^(Z$5-1)*1*Z10</f>
        <v>242.458333333333</v>
      </c>
      <c r="AA13" s="19" t="n">
        <f aca="false">Inputs!$E$15*(1+Inputs!$E$16)^(AA$5-1)*1*AA10</f>
        <v>278.827083333333</v>
      </c>
      <c r="AB13" s="19" t="n">
        <f aca="false">Inputs!$E$15*(1+Inputs!$E$16)^(AB$5-1)*1*AB10</f>
        <v>278.827083333333</v>
      </c>
      <c r="AC13" s="19" t="n">
        <f aca="false">Inputs!$E$15*(1+Inputs!$E$16)^(AC$5-1)*1*AC10</f>
        <v>278.827083333333</v>
      </c>
      <c r="AD13" s="19" t="n">
        <f aca="false">Inputs!$E$15*(1+Inputs!$E$16)^(AD$5-1)*1*AD10</f>
        <v>278.827083333333</v>
      </c>
      <c r="AE13" s="19" t="n">
        <f aca="false">Inputs!$E$15*(1+Inputs!$E$16)^(AE$5-1)*1*AE10</f>
        <v>278.827083333333</v>
      </c>
      <c r="AF13" s="19" t="n">
        <f aca="false">Inputs!$E$15*(1+Inputs!$E$16)^(AF$5-1)*1*AF10</f>
        <v>380.21875</v>
      </c>
      <c r="AG13" s="19" t="n">
        <f aca="false">Inputs!$E$15*(1+Inputs!$E$16)^(AG$5-1)*1*AG10</f>
        <v>380.21875</v>
      </c>
      <c r="AH13" s="19" t="n">
        <f aca="false">Inputs!$E$15*(1+Inputs!$E$16)^(AH$5-1)*1*AH10</f>
        <v>380.21875</v>
      </c>
      <c r="AI13" s="19" t="n">
        <f aca="false">Inputs!$E$15*(1+Inputs!$E$16)^(AI$5-1)*1*AI10</f>
        <v>278.827083333333</v>
      </c>
      <c r="AJ13" s="19" t="n">
        <f aca="false">Inputs!$E$15*(1+Inputs!$E$16)^(AJ$5-1)*1*AJ10</f>
        <v>278.827083333333</v>
      </c>
      <c r="AK13" s="19" t="n">
        <f aca="false">Inputs!$E$15*(1+Inputs!$E$16)^(AK$5-1)*1*AK10</f>
        <v>278.827083333333</v>
      </c>
      <c r="AL13" s="19" t="n">
        <f aca="false">Inputs!$E$15*(1+Inputs!$E$16)^(AL$5-1)*1*AL10</f>
        <v>278.827083333333</v>
      </c>
    </row>
    <row r="14" customFormat="false" ht="15" hidden="false" customHeight="false" outlineLevel="0" collapsed="false">
      <c r="A14" s="11" t="s">
        <v>24</v>
      </c>
      <c r="C14" s="19" t="n">
        <f aca="false">C12+C13</f>
        <v>285.083333333333</v>
      </c>
      <c r="D14" s="19" t="n">
        <f aca="false">D12+D13</f>
        <v>285.083333333333</v>
      </c>
      <c r="E14" s="19" t="n">
        <f aca="false">E12+E13</f>
        <v>285.083333333333</v>
      </c>
      <c r="F14" s="19" t="n">
        <f aca="false">F12+F13</f>
        <v>285.083333333333</v>
      </c>
      <c r="G14" s="19" t="n">
        <f aca="false">G12+G13</f>
        <v>285.083333333333</v>
      </c>
      <c r="H14" s="19" t="n">
        <f aca="false">H12+H13</f>
        <v>388.75</v>
      </c>
      <c r="I14" s="19" t="n">
        <f aca="false">I12+I13</f>
        <v>388.75</v>
      </c>
      <c r="J14" s="19" t="n">
        <f aca="false">J12+J13</f>
        <v>388.75</v>
      </c>
      <c r="K14" s="19" t="n">
        <f aca="false">K12+K13</f>
        <v>285.083333333333</v>
      </c>
      <c r="L14" s="19" t="n">
        <f aca="false">L12+L13</f>
        <v>285.083333333333</v>
      </c>
      <c r="M14" s="19" t="n">
        <f aca="false">M12+M13</f>
        <v>285.083333333333</v>
      </c>
      <c r="N14" s="19" t="n">
        <f aca="false">N12+N13</f>
        <v>285.083333333333</v>
      </c>
      <c r="O14" s="19" t="n">
        <f aca="false">O12+O13</f>
        <v>327.845833333333</v>
      </c>
      <c r="P14" s="19" t="n">
        <f aca="false">P12+P13</f>
        <v>327.845833333333</v>
      </c>
      <c r="Q14" s="19" t="n">
        <f aca="false">Q12+Q13</f>
        <v>327.845833333333</v>
      </c>
      <c r="R14" s="19" t="n">
        <f aca="false">R12+R13</f>
        <v>327.845833333333</v>
      </c>
      <c r="S14" s="19" t="n">
        <f aca="false">S12+S13</f>
        <v>327.845833333333</v>
      </c>
      <c r="T14" s="19" t="n">
        <f aca="false">T12+T13</f>
        <v>447.0625</v>
      </c>
      <c r="U14" s="19" t="n">
        <f aca="false">U12+U13</f>
        <v>447.0625</v>
      </c>
      <c r="V14" s="19" t="n">
        <f aca="false">V12+V13</f>
        <v>447.0625</v>
      </c>
      <c r="W14" s="19" t="n">
        <f aca="false">W12+W13</f>
        <v>327.845833333333</v>
      </c>
      <c r="X14" s="19" t="n">
        <f aca="false">X12+X13</f>
        <v>327.845833333333</v>
      </c>
      <c r="Y14" s="19" t="n">
        <f aca="false">Y12+Y13</f>
        <v>327.845833333333</v>
      </c>
      <c r="Z14" s="19" t="n">
        <f aca="false">Z12+Z13</f>
        <v>327.845833333333</v>
      </c>
      <c r="AA14" s="19" t="n">
        <f aca="false">AA12+AA13</f>
        <v>377.022708333333</v>
      </c>
      <c r="AB14" s="19" t="n">
        <f aca="false">AB12+AB13</f>
        <v>377.022708333333</v>
      </c>
      <c r="AC14" s="19" t="n">
        <f aca="false">AC12+AC13</f>
        <v>377.022708333333</v>
      </c>
      <c r="AD14" s="19" t="n">
        <f aca="false">AD12+AD13</f>
        <v>377.022708333333</v>
      </c>
      <c r="AE14" s="19" t="n">
        <f aca="false">AE12+AE13</f>
        <v>377.022708333333</v>
      </c>
      <c r="AF14" s="19" t="n">
        <f aca="false">AF12+AF13</f>
        <v>514.121875</v>
      </c>
      <c r="AG14" s="19" t="n">
        <f aca="false">AG12+AG13</f>
        <v>514.121875</v>
      </c>
      <c r="AH14" s="19" t="n">
        <f aca="false">AH12+AH13</f>
        <v>514.121875</v>
      </c>
      <c r="AI14" s="19" t="n">
        <f aca="false">AI12+AI13</f>
        <v>377.022708333333</v>
      </c>
      <c r="AJ14" s="19" t="n">
        <f aca="false">AJ12+AJ13</f>
        <v>377.022708333333</v>
      </c>
      <c r="AK14" s="19" t="n">
        <f aca="false">AK12+AK13</f>
        <v>377.022708333333</v>
      </c>
      <c r="AL14" s="19" t="n">
        <f aca="false">AL12+AL13</f>
        <v>377.022708333333</v>
      </c>
    </row>
    <row r="15" customFormat="false" ht="15" hidden="false" customHeight="false" outlineLevel="0" collapsed="false">
      <c r="A15" s="4" t="s">
        <v>159</v>
      </c>
      <c r="C15" s="20" t="n">
        <f aca="false">MIN(C9,C14)</f>
        <v>285.083333333333</v>
      </c>
      <c r="D15" s="20" t="n">
        <f aca="false">MIN(D9,D14)</f>
        <v>285.083333333333</v>
      </c>
      <c r="E15" s="20" t="n">
        <f aca="false">MIN(E9,E14)</f>
        <v>285.083333333333</v>
      </c>
      <c r="F15" s="20" t="n">
        <f aca="false">MIN(F9,F14)</f>
        <v>285.083333333333</v>
      </c>
      <c r="G15" s="20" t="n">
        <f aca="false">MIN(G9,G14)</f>
        <v>285.083333333333</v>
      </c>
      <c r="H15" s="20" t="n">
        <f aca="false">MIN(H9,H14)</f>
        <v>367.5</v>
      </c>
      <c r="I15" s="20" t="n">
        <f aca="false">MIN(I9,I14)</f>
        <v>367.5</v>
      </c>
      <c r="J15" s="20" t="n">
        <f aca="false">MIN(J9,J14)</f>
        <v>367.5</v>
      </c>
      <c r="K15" s="20" t="n">
        <f aca="false">MIN(K9,K14)</f>
        <v>285.083333333333</v>
      </c>
      <c r="L15" s="20" t="n">
        <f aca="false">MIN(L9,L14)</f>
        <v>285.083333333333</v>
      </c>
      <c r="M15" s="20" t="n">
        <f aca="false">MIN(M9,M14)</f>
        <v>285.083333333333</v>
      </c>
      <c r="N15" s="20" t="n">
        <f aca="false">MIN(N9,N14)</f>
        <v>285.083333333333</v>
      </c>
      <c r="O15" s="20" t="n">
        <f aca="false">MIN(O9,O14)</f>
        <v>327.845833333333</v>
      </c>
      <c r="P15" s="20" t="n">
        <f aca="false">MIN(P9,P14)</f>
        <v>327.845833333333</v>
      </c>
      <c r="Q15" s="20" t="n">
        <f aca="false">MIN(Q9,Q14)</f>
        <v>327.845833333333</v>
      </c>
      <c r="R15" s="20" t="n">
        <f aca="false">MIN(R9,R14)</f>
        <v>327.845833333333</v>
      </c>
      <c r="S15" s="20" t="n">
        <f aca="false">MIN(S9,S14)</f>
        <v>327.845833333333</v>
      </c>
      <c r="T15" s="20" t="n">
        <f aca="false">MIN(T9,T14)</f>
        <v>411.6</v>
      </c>
      <c r="U15" s="20" t="n">
        <f aca="false">MIN(U9,U14)</f>
        <v>411.6</v>
      </c>
      <c r="V15" s="20" t="n">
        <f aca="false">MIN(V9,V14)</f>
        <v>411.6</v>
      </c>
      <c r="W15" s="20" t="n">
        <f aca="false">MIN(W9,W14)</f>
        <v>327.845833333333</v>
      </c>
      <c r="X15" s="20" t="n">
        <f aca="false">MIN(X9,X14)</f>
        <v>327.845833333333</v>
      </c>
      <c r="Y15" s="20" t="n">
        <f aca="false">MIN(Y9,Y14)</f>
        <v>327.845833333333</v>
      </c>
      <c r="Z15" s="20" t="n">
        <f aca="false">MIN(Z9,Z14)</f>
        <v>327.845833333333</v>
      </c>
      <c r="AA15" s="20" t="n">
        <f aca="false">MIN(AA9,AA14)</f>
        <v>377.022708333333</v>
      </c>
      <c r="AB15" s="20" t="n">
        <f aca="false">MIN(AB9,AB14)</f>
        <v>377.022708333333</v>
      </c>
      <c r="AC15" s="20" t="n">
        <f aca="false">MIN(AC9,AC14)</f>
        <v>377.022708333333</v>
      </c>
      <c r="AD15" s="20" t="n">
        <f aca="false">MIN(AD9,AD14)</f>
        <v>377.022708333333</v>
      </c>
      <c r="AE15" s="20" t="n">
        <f aca="false">MIN(AE9,AE14)</f>
        <v>377.022708333333</v>
      </c>
      <c r="AF15" s="20" t="n">
        <f aca="false">MIN(AF9,AF14)</f>
        <v>460.992</v>
      </c>
      <c r="AG15" s="20" t="n">
        <f aca="false">MIN(AG9,AG14)</f>
        <v>460.992</v>
      </c>
      <c r="AH15" s="20" t="n">
        <f aca="false">MIN(AH9,AH14)</f>
        <v>460.992</v>
      </c>
      <c r="AI15" s="20" t="n">
        <f aca="false">MIN(AI9,AI14)</f>
        <v>377.022708333333</v>
      </c>
      <c r="AJ15" s="20" t="n">
        <f aca="false">MIN(AJ9,AJ14)</f>
        <v>377.022708333333</v>
      </c>
      <c r="AK15" s="20" t="n">
        <f aca="false">MIN(AK9,AK14)</f>
        <v>377.022708333333</v>
      </c>
      <c r="AL15" s="20" t="n">
        <f aca="false">MIN(AL9,AL14)</f>
        <v>377.022708333333</v>
      </c>
    </row>
    <row r="17" customFormat="false" ht="15" hidden="false" customHeight="false" outlineLevel="0" collapsed="false">
      <c r="A17" s="7" t="s">
        <v>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customFormat="false" ht="15" hidden="false" customHeight="false" outlineLevel="0" collapsed="false">
      <c r="A18" s="11" t="s">
        <v>32</v>
      </c>
      <c r="C18" s="23" t="n">
        <f aca="false">Inputs!$E$20*(1+Inputs!$E$21)^(C$5-1)</f>
        <v>440</v>
      </c>
      <c r="D18" s="23" t="n">
        <f aca="false">Inputs!$E$20*(1+Inputs!$E$21)^(D$5-1)</f>
        <v>440</v>
      </c>
      <c r="E18" s="23" t="n">
        <f aca="false">Inputs!$E$20*(1+Inputs!$E$21)^(E$5-1)</f>
        <v>440</v>
      </c>
      <c r="F18" s="23" t="n">
        <f aca="false">Inputs!$E$20*(1+Inputs!$E$21)^(F$5-1)</f>
        <v>440</v>
      </c>
      <c r="G18" s="23" t="n">
        <f aca="false">Inputs!$E$20*(1+Inputs!$E$21)^(G$5-1)</f>
        <v>440</v>
      </c>
      <c r="H18" s="23" t="n">
        <f aca="false">Inputs!$E$20*(1+Inputs!$E$21)^(H$5-1)</f>
        <v>440</v>
      </c>
      <c r="I18" s="23" t="n">
        <f aca="false">Inputs!$E$20*(1+Inputs!$E$21)^(I$5-1)</f>
        <v>440</v>
      </c>
      <c r="J18" s="23" t="n">
        <f aca="false">Inputs!$E$20*(1+Inputs!$E$21)^(J$5-1)</f>
        <v>440</v>
      </c>
      <c r="K18" s="23" t="n">
        <f aca="false">Inputs!$E$20*(1+Inputs!$E$21)^(K$5-1)</f>
        <v>440</v>
      </c>
      <c r="L18" s="23" t="n">
        <f aca="false">Inputs!$E$20*(1+Inputs!$E$21)^(L$5-1)</f>
        <v>440</v>
      </c>
      <c r="M18" s="23" t="n">
        <f aca="false">Inputs!$E$20*(1+Inputs!$E$21)^(M$5-1)</f>
        <v>440</v>
      </c>
      <c r="N18" s="23" t="n">
        <f aca="false">Inputs!$E$20*(1+Inputs!$E$21)^(N$5-1)</f>
        <v>440</v>
      </c>
      <c r="O18" s="23" t="n">
        <f aca="false">Inputs!$E$20*(1+Inputs!$E$21)^(O$5-1)</f>
        <v>453.2</v>
      </c>
      <c r="P18" s="23" t="n">
        <f aca="false">Inputs!$E$20*(1+Inputs!$E$21)^(P$5-1)</f>
        <v>453.2</v>
      </c>
      <c r="Q18" s="23" t="n">
        <f aca="false">Inputs!$E$20*(1+Inputs!$E$21)^(Q$5-1)</f>
        <v>453.2</v>
      </c>
      <c r="R18" s="23" t="n">
        <f aca="false">Inputs!$E$20*(1+Inputs!$E$21)^(R$5-1)</f>
        <v>453.2</v>
      </c>
      <c r="S18" s="23" t="n">
        <f aca="false">Inputs!$E$20*(1+Inputs!$E$21)^(S$5-1)</f>
        <v>453.2</v>
      </c>
      <c r="T18" s="23" t="n">
        <f aca="false">Inputs!$E$20*(1+Inputs!$E$21)^(T$5-1)</f>
        <v>453.2</v>
      </c>
      <c r="U18" s="23" t="n">
        <f aca="false">Inputs!$E$20*(1+Inputs!$E$21)^(U$5-1)</f>
        <v>453.2</v>
      </c>
      <c r="V18" s="23" t="n">
        <f aca="false">Inputs!$E$20*(1+Inputs!$E$21)^(V$5-1)</f>
        <v>453.2</v>
      </c>
      <c r="W18" s="23" t="n">
        <f aca="false">Inputs!$E$20*(1+Inputs!$E$21)^(W$5-1)</f>
        <v>453.2</v>
      </c>
      <c r="X18" s="23" t="n">
        <f aca="false">Inputs!$E$20*(1+Inputs!$E$21)^(X$5-1)</f>
        <v>453.2</v>
      </c>
      <c r="Y18" s="23" t="n">
        <f aca="false">Inputs!$E$20*(1+Inputs!$E$21)^(Y$5-1)</f>
        <v>453.2</v>
      </c>
      <c r="Z18" s="23" t="n">
        <f aca="false">Inputs!$E$20*(1+Inputs!$E$21)^(Z$5-1)</f>
        <v>453.2</v>
      </c>
      <c r="AA18" s="23" t="n">
        <f aca="false">Inputs!$E$20*(1+Inputs!$E$21)^(AA$5-1)</f>
        <v>466.796</v>
      </c>
      <c r="AB18" s="23" t="n">
        <f aca="false">Inputs!$E$20*(1+Inputs!$E$21)^(AB$5-1)</f>
        <v>466.796</v>
      </c>
      <c r="AC18" s="23" t="n">
        <f aca="false">Inputs!$E$20*(1+Inputs!$E$21)^(AC$5-1)</f>
        <v>466.796</v>
      </c>
      <c r="AD18" s="23" t="n">
        <f aca="false">Inputs!$E$20*(1+Inputs!$E$21)^(AD$5-1)</f>
        <v>466.796</v>
      </c>
      <c r="AE18" s="23" t="n">
        <f aca="false">Inputs!$E$20*(1+Inputs!$E$21)^(AE$5-1)</f>
        <v>466.796</v>
      </c>
      <c r="AF18" s="23" t="n">
        <f aca="false">Inputs!$E$20*(1+Inputs!$E$21)^(AF$5-1)</f>
        <v>466.796</v>
      </c>
      <c r="AG18" s="23" t="n">
        <f aca="false">Inputs!$E$20*(1+Inputs!$E$21)^(AG$5-1)</f>
        <v>466.796</v>
      </c>
      <c r="AH18" s="23" t="n">
        <f aca="false">Inputs!$E$20*(1+Inputs!$E$21)^(AH$5-1)</f>
        <v>466.796</v>
      </c>
      <c r="AI18" s="23" t="n">
        <f aca="false">Inputs!$E$20*(1+Inputs!$E$21)^(AI$5-1)</f>
        <v>466.796</v>
      </c>
      <c r="AJ18" s="23" t="n">
        <f aca="false">Inputs!$E$20*(1+Inputs!$E$21)^(AJ$5-1)</f>
        <v>466.796</v>
      </c>
      <c r="AK18" s="23" t="n">
        <f aca="false">Inputs!$E$20*(1+Inputs!$E$21)^(AK$5-1)</f>
        <v>466.796</v>
      </c>
      <c r="AL18" s="23" t="n">
        <f aca="false">Inputs!$E$20*(1+Inputs!$E$21)^(AL$5-1)</f>
        <v>466.796</v>
      </c>
    </row>
    <row r="19" customFormat="false" ht="15" hidden="false" customHeight="false" outlineLevel="0" collapsed="false">
      <c r="A19" s="11" t="s">
        <v>31</v>
      </c>
      <c r="C19" s="22" t="n">
        <f aca="false">C15*C18</f>
        <v>125436.666666667</v>
      </c>
      <c r="D19" s="22" t="n">
        <f aca="false">D15*D18</f>
        <v>125436.666666667</v>
      </c>
      <c r="E19" s="22" t="n">
        <f aca="false">E15*E18</f>
        <v>125436.666666667</v>
      </c>
      <c r="F19" s="22" t="n">
        <f aca="false">F15*F18</f>
        <v>125436.666666667</v>
      </c>
      <c r="G19" s="22" t="n">
        <f aca="false">G15*G18</f>
        <v>125436.666666667</v>
      </c>
      <c r="H19" s="22" t="n">
        <f aca="false">H15*H18</f>
        <v>161700</v>
      </c>
      <c r="I19" s="22" t="n">
        <f aca="false">I15*I18</f>
        <v>161700</v>
      </c>
      <c r="J19" s="22" t="n">
        <f aca="false">J15*J18</f>
        <v>161700</v>
      </c>
      <c r="K19" s="22" t="n">
        <f aca="false">K15*K18</f>
        <v>125436.666666667</v>
      </c>
      <c r="L19" s="22" t="n">
        <f aca="false">L15*L18</f>
        <v>125436.666666667</v>
      </c>
      <c r="M19" s="22" t="n">
        <f aca="false">M15*M18</f>
        <v>125436.666666667</v>
      </c>
      <c r="N19" s="22" t="n">
        <f aca="false">N15*N18</f>
        <v>125436.666666667</v>
      </c>
      <c r="O19" s="22" t="n">
        <f aca="false">O15*O18</f>
        <v>148579.731666667</v>
      </c>
      <c r="P19" s="22" t="n">
        <f aca="false">P15*P18</f>
        <v>148579.731666667</v>
      </c>
      <c r="Q19" s="22" t="n">
        <f aca="false">Q15*Q18</f>
        <v>148579.731666667</v>
      </c>
      <c r="R19" s="22" t="n">
        <f aca="false">R15*R18</f>
        <v>148579.731666667</v>
      </c>
      <c r="S19" s="22" t="n">
        <f aca="false">S15*S18</f>
        <v>148579.731666667</v>
      </c>
      <c r="T19" s="22" t="n">
        <f aca="false">T15*T18</f>
        <v>186537.12</v>
      </c>
      <c r="U19" s="22" t="n">
        <f aca="false">U15*U18</f>
        <v>186537.12</v>
      </c>
      <c r="V19" s="22" t="n">
        <f aca="false">V15*V18</f>
        <v>186537.12</v>
      </c>
      <c r="W19" s="22" t="n">
        <f aca="false">W15*W18</f>
        <v>148579.731666667</v>
      </c>
      <c r="X19" s="22" t="n">
        <f aca="false">X15*X18</f>
        <v>148579.731666667</v>
      </c>
      <c r="Y19" s="22" t="n">
        <f aca="false">Y15*Y18</f>
        <v>148579.731666667</v>
      </c>
      <c r="Z19" s="22" t="n">
        <f aca="false">Z15*Z18</f>
        <v>148579.731666667</v>
      </c>
      <c r="AA19" s="22" t="n">
        <f aca="false">AA15*AA18</f>
        <v>175992.692159167</v>
      </c>
      <c r="AB19" s="22" t="n">
        <f aca="false">AB15*AB18</f>
        <v>175992.692159167</v>
      </c>
      <c r="AC19" s="22" t="n">
        <f aca="false">AC15*AC18</f>
        <v>175992.692159167</v>
      </c>
      <c r="AD19" s="22" t="n">
        <f aca="false">AD15*AD18</f>
        <v>175992.692159167</v>
      </c>
      <c r="AE19" s="22" t="n">
        <f aca="false">AE15*AE18</f>
        <v>175992.692159167</v>
      </c>
      <c r="AF19" s="22" t="n">
        <f aca="false">AF15*AF18</f>
        <v>215189.221632</v>
      </c>
      <c r="AG19" s="22" t="n">
        <f aca="false">AG15*AG18</f>
        <v>215189.221632</v>
      </c>
      <c r="AH19" s="22" t="n">
        <f aca="false">AH15*AH18</f>
        <v>215189.221632</v>
      </c>
      <c r="AI19" s="22" t="n">
        <f aca="false">AI15*AI18</f>
        <v>175992.692159167</v>
      </c>
      <c r="AJ19" s="22" t="n">
        <f aca="false">AJ15*AJ18</f>
        <v>175992.692159167</v>
      </c>
      <c r="AK19" s="22" t="n">
        <f aca="false">AK15*AK18</f>
        <v>175992.692159167</v>
      </c>
      <c r="AL19" s="22" t="n">
        <f aca="false">AL15*AL18</f>
        <v>175992.692159167</v>
      </c>
    </row>
    <row r="20" customFormat="false" ht="15" hidden="false" customHeight="false" outlineLevel="0" collapsed="false">
      <c r="A20" s="11" t="s">
        <v>160</v>
      </c>
      <c r="C20" s="19" t="n">
        <f aca="false">Inputs!$E$24*(1+Inputs!$E$25)^(C$5-1)</f>
        <v>400</v>
      </c>
      <c r="D20" s="19" t="n">
        <f aca="false">Inputs!$E$24*(1+Inputs!$E$25)^(D$5-1)</f>
        <v>400</v>
      </c>
      <c r="E20" s="19" t="n">
        <f aca="false">Inputs!$E$24*(1+Inputs!$E$25)^(E$5-1)</f>
        <v>400</v>
      </c>
      <c r="F20" s="19" t="n">
        <f aca="false">Inputs!$E$24*(1+Inputs!$E$25)^(F$5-1)</f>
        <v>400</v>
      </c>
      <c r="G20" s="19" t="n">
        <f aca="false">Inputs!$E$24*(1+Inputs!$E$25)^(G$5-1)</f>
        <v>400</v>
      </c>
      <c r="H20" s="19" t="n">
        <f aca="false">Inputs!$E$24*(1+Inputs!$E$25)^(H$5-1)</f>
        <v>400</v>
      </c>
      <c r="I20" s="19" t="n">
        <f aca="false">Inputs!$E$24*(1+Inputs!$E$25)^(I$5-1)</f>
        <v>400</v>
      </c>
      <c r="J20" s="19" t="n">
        <f aca="false">Inputs!$E$24*(1+Inputs!$E$25)^(J$5-1)</f>
        <v>400</v>
      </c>
      <c r="K20" s="19" t="n">
        <f aca="false">Inputs!$E$24*(1+Inputs!$E$25)^(K$5-1)</f>
        <v>400</v>
      </c>
      <c r="L20" s="19" t="n">
        <f aca="false">Inputs!$E$24*(1+Inputs!$E$25)^(L$5-1)</f>
        <v>400</v>
      </c>
      <c r="M20" s="19" t="n">
        <f aca="false">Inputs!$E$24*(1+Inputs!$E$25)^(M$5-1)</f>
        <v>400</v>
      </c>
      <c r="N20" s="19" t="n">
        <f aca="false">Inputs!$E$24*(1+Inputs!$E$25)^(N$5-1)</f>
        <v>400</v>
      </c>
      <c r="O20" s="19" t="n">
        <f aca="false">Inputs!$E$24*(1+Inputs!$E$25)^(O$5-1)</f>
        <v>480</v>
      </c>
      <c r="P20" s="19" t="n">
        <f aca="false">Inputs!$E$24*(1+Inputs!$E$25)^(P$5-1)</f>
        <v>480</v>
      </c>
      <c r="Q20" s="19" t="n">
        <f aca="false">Inputs!$E$24*(1+Inputs!$E$25)^(Q$5-1)</f>
        <v>480</v>
      </c>
      <c r="R20" s="19" t="n">
        <f aca="false">Inputs!$E$24*(1+Inputs!$E$25)^(R$5-1)</f>
        <v>480</v>
      </c>
      <c r="S20" s="19" t="n">
        <f aca="false">Inputs!$E$24*(1+Inputs!$E$25)^(S$5-1)</f>
        <v>480</v>
      </c>
      <c r="T20" s="19" t="n">
        <f aca="false">Inputs!$E$24*(1+Inputs!$E$25)^(T$5-1)</f>
        <v>480</v>
      </c>
      <c r="U20" s="19" t="n">
        <f aca="false">Inputs!$E$24*(1+Inputs!$E$25)^(U$5-1)</f>
        <v>480</v>
      </c>
      <c r="V20" s="19" t="n">
        <f aca="false">Inputs!$E$24*(1+Inputs!$E$25)^(V$5-1)</f>
        <v>480</v>
      </c>
      <c r="W20" s="19" t="n">
        <f aca="false">Inputs!$E$24*(1+Inputs!$E$25)^(W$5-1)</f>
        <v>480</v>
      </c>
      <c r="X20" s="19" t="n">
        <f aca="false">Inputs!$E$24*(1+Inputs!$E$25)^(X$5-1)</f>
        <v>480</v>
      </c>
      <c r="Y20" s="19" t="n">
        <f aca="false">Inputs!$E$24*(1+Inputs!$E$25)^(Y$5-1)</f>
        <v>480</v>
      </c>
      <c r="Z20" s="19" t="n">
        <f aca="false">Inputs!$E$24*(1+Inputs!$E$25)^(Z$5-1)</f>
        <v>480</v>
      </c>
      <c r="AA20" s="19" t="n">
        <f aca="false">Inputs!$E$24*(1+Inputs!$E$25)^(AA$5-1)</f>
        <v>576</v>
      </c>
      <c r="AB20" s="19" t="n">
        <f aca="false">Inputs!$E$24*(1+Inputs!$E$25)^(AB$5-1)</f>
        <v>576</v>
      </c>
      <c r="AC20" s="19" t="n">
        <f aca="false">Inputs!$E$24*(1+Inputs!$E$25)^(AC$5-1)</f>
        <v>576</v>
      </c>
      <c r="AD20" s="19" t="n">
        <f aca="false">Inputs!$E$24*(1+Inputs!$E$25)^(AD$5-1)</f>
        <v>576</v>
      </c>
      <c r="AE20" s="19" t="n">
        <f aca="false">Inputs!$E$24*(1+Inputs!$E$25)^(AE$5-1)</f>
        <v>576</v>
      </c>
      <c r="AF20" s="19" t="n">
        <f aca="false">Inputs!$E$24*(1+Inputs!$E$25)^(AF$5-1)</f>
        <v>576</v>
      </c>
      <c r="AG20" s="19" t="n">
        <f aca="false">Inputs!$E$24*(1+Inputs!$E$25)^(AG$5-1)</f>
        <v>576</v>
      </c>
      <c r="AH20" s="19" t="n">
        <f aca="false">Inputs!$E$24*(1+Inputs!$E$25)^(AH$5-1)</f>
        <v>576</v>
      </c>
      <c r="AI20" s="19" t="n">
        <f aca="false">Inputs!$E$24*(1+Inputs!$E$25)^(AI$5-1)</f>
        <v>576</v>
      </c>
      <c r="AJ20" s="19" t="n">
        <f aca="false">Inputs!$E$24*(1+Inputs!$E$25)^(AJ$5-1)</f>
        <v>576</v>
      </c>
      <c r="AK20" s="19" t="n">
        <f aca="false">Inputs!$E$24*(1+Inputs!$E$25)^(AK$5-1)</f>
        <v>576</v>
      </c>
      <c r="AL20" s="19" t="n">
        <f aca="false">Inputs!$E$24*(1+Inputs!$E$25)^(AL$5-1)</f>
        <v>576</v>
      </c>
    </row>
    <row r="21" customFormat="false" ht="15" hidden="false" customHeight="false" outlineLevel="0" collapsed="false">
      <c r="A21" s="11" t="s">
        <v>35</v>
      </c>
      <c r="C21" s="22" t="n">
        <f aca="false">C20*Inputs!$E$26*(1+Inputs!$E$21)^(C$5-1)*1</f>
        <v>8000</v>
      </c>
      <c r="D21" s="22" t="n">
        <f aca="false">D20*Inputs!$E$26*(1+Inputs!$E$21)^(D$5-1)*1</f>
        <v>8000</v>
      </c>
      <c r="E21" s="22" t="n">
        <f aca="false">E20*Inputs!$E$26*(1+Inputs!$E$21)^(E$5-1)*1</f>
        <v>8000</v>
      </c>
      <c r="F21" s="22" t="n">
        <f aca="false">F20*Inputs!$E$26*(1+Inputs!$E$21)^(F$5-1)*1</f>
        <v>8000</v>
      </c>
      <c r="G21" s="22" t="n">
        <f aca="false">G20*Inputs!$E$26*(1+Inputs!$E$21)^(G$5-1)*1</f>
        <v>8000</v>
      </c>
      <c r="H21" s="22" t="n">
        <f aca="false">H20*Inputs!$E$26*(1+Inputs!$E$21)^(H$5-1)*1</f>
        <v>8000</v>
      </c>
      <c r="I21" s="22" t="n">
        <f aca="false">I20*Inputs!$E$26*(1+Inputs!$E$21)^(I$5-1)*1</f>
        <v>8000</v>
      </c>
      <c r="J21" s="22" t="n">
        <f aca="false">J20*Inputs!$E$26*(1+Inputs!$E$21)^(J$5-1)*1</f>
        <v>8000</v>
      </c>
      <c r="K21" s="22" t="n">
        <f aca="false">K20*Inputs!$E$26*(1+Inputs!$E$21)^(K$5-1)*1</f>
        <v>8000</v>
      </c>
      <c r="L21" s="22" t="n">
        <f aca="false">L20*Inputs!$E$26*(1+Inputs!$E$21)^(L$5-1)*1</f>
        <v>8000</v>
      </c>
      <c r="M21" s="22" t="n">
        <f aca="false">M20*Inputs!$E$26*(1+Inputs!$E$21)^(M$5-1)*1</f>
        <v>8000</v>
      </c>
      <c r="N21" s="22" t="n">
        <f aca="false">N20*Inputs!$E$26*(1+Inputs!$E$21)^(N$5-1)*1</f>
        <v>8000</v>
      </c>
      <c r="O21" s="22" t="n">
        <f aca="false">O20*Inputs!$E$26*(1+Inputs!$E$21)^(O$5-1)*1</f>
        <v>9888</v>
      </c>
      <c r="P21" s="22" t="n">
        <f aca="false">P20*Inputs!$E$26*(1+Inputs!$E$21)^(P$5-1)*1</f>
        <v>9888</v>
      </c>
      <c r="Q21" s="22" t="n">
        <f aca="false">Q20*Inputs!$E$26*(1+Inputs!$E$21)^(Q$5-1)*1</f>
        <v>9888</v>
      </c>
      <c r="R21" s="22" t="n">
        <f aca="false">R20*Inputs!$E$26*(1+Inputs!$E$21)^(R$5-1)*1</f>
        <v>9888</v>
      </c>
      <c r="S21" s="22" t="n">
        <f aca="false">S20*Inputs!$E$26*(1+Inputs!$E$21)^(S$5-1)*1</f>
        <v>9888</v>
      </c>
      <c r="T21" s="22" t="n">
        <f aca="false">T20*Inputs!$E$26*(1+Inputs!$E$21)^(T$5-1)*1</f>
        <v>9888</v>
      </c>
      <c r="U21" s="22" t="n">
        <f aca="false">U20*Inputs!$E$26*(1+Inputs!$E$21)^(U$5-1)*1</f>
        <v>9888</v>
      </c>
      <c r="V21" s="22" t="n">
        <f aca="false">V20*Inputs!$E$26*(1+Inputs!$E$21)^(V$5-1)*1</f>
        <v>9888</v>
      </c>
      <c r="W21" s="22" t="n">
        <f aca="false">W20*Inputs!$E$26*(1+Inputs!$E$21)^(W$5-1)*1</f>
        <v>9888</v>
      </c>
      <c r="X21" s="22" t="n">
        <f aca="false">X20*Inputs!$E$26*(1+Inputs!$E$21)^(X$5-1)*1</f>
        <v>9888</v>
      </c>
      <c r="Y21" s="22" t="n">
        <f aca="false">Y20*Inputs!$E$26*(1+Inputs!$E$21)^(Y$5-1)*1</f>
        <v>9888</v>
      </c>
      <c r="Z21" s="22" t="n">
        <f aca="false">Z20*Inputs!$E$26*(1+Inputs!$E$21)^(Z$5-1)*1</f>
        <v>9888</v>
      </c>
      <c r="AA21" s="22" t="n">
        <f aca="false">AA20*Inputs!$E$26*(1+Inputs!$E$21)^(AA$5-1)*1</f>
        <v>12221.568</v>
      </c>
      <c r="AB21" s="22" t="n">
        <f aca="false">AB20*Inputs!$E$26*(1+Inputs!$E$21)^(AB$5-1)*1</f>
        <v>12221.568</v>
      </c>
      <c r="AC21" s="22" t="n">
        <f aca="false">AC20*Inputs!$E$26*(1+Inputs!$E$21)^(AC$5-1)*1</f>
        <v>12221.568</v>
      </c>
      <c r="AD21" s="22" t="n">
        <f aca="false">AD20*Inputs!$E$26*(1+Inputs!$E$21)^(AD$5-1)*1</f>
        <v>12221.568</v>
      </c>
      <c r="AE21" s="22" t="n">
        <f aca="false">AE20*Inputs!$E$26*(1+Inputs!$E$21)^(AE$5-1)*1</f>
        <v>12221.568</v>
      </c>
      <c r="AF21" s="22" t="n">
        <f aca="false">AF20*Inputs!$E$26*(1+Inputs!$E$21)^(AF$5-1)*1</f>
        <v>12221.568</v>
      </c>
      <c r="AG21" s="22" t="n">
        <f aca="false">AG20*Inputs!$E$26*(1+Inputs!$E$21)^(AG$5-1)*1</f>
        <v>12221.568</v>
      </c>
      <c r="AH21" s="22" t="n">
        <f aca="false">AH20*Inputs!$E$26*(1+Inputs!$E$21)^(AH$5-1)*1</f>
        <v>12221.568</v>
      </c>
      <c r="AI21" s="22" t="n">
        <f aca="false">AI20*Inputs!$E$26*(1+Inputs!$E$21)^(AI$5-1)*1</f>
        <v>12221.568</v>
      </c>
      <c r="AJ21" s="22" t="n">
        <f aca="false">AJ20*Inputs!$E$26*(1+Inputs!$E$21)^(AJ$5-1)*1</f>
        <v>12221.568</v>
      </c>
      <c r="AK21" s="22" t="n">
        <f aca="false">AK20*Inputs!$E$26*(1+Inputs!$E$21)^(AK$5-1)*1</f>
        <v>12221.568</v>
      </c>
      <c r="AL21" s="22" t="n">
        <f aca="false">AL20*Inputs!$E$26*(1+Inputs!$E$21)^(AL$5-1)*1</f>
        <v>12221.568</v>
      </c>
    </row>
    <row r="22" customFormat="false" ht="15" hidden="false" customHeight="false" outlineLevel="0" collapsed="false">
      <c r="A22" s="4" t="s">
        <v>7</v>
      </c>
      <c r="C22" s="35" t="n">
        <f aca="false">C19+C21</f>
        <v>133436.666666667</v>
      </c>
      <c r="D22" s="35" t="n">
        <f aca="false">D19+D21</f>
        <v>133436.666666667</v>
      </c>
      <c r="E22" s="35" t="n">
        <f aca="false">E19+E21</f>
        <v>133436.666666667</v>
      </c>
      <c r="F22" s="35" t="n">
        <f aca="false">F19+F21</f>
        <v>133436.666666667</v>
      </c>
      <c r="G22" s="35" t="n">
        <f aca="false">G19+G21</f>
        <v>133436.666666667</v>
      </c>
      <c r="H22" s="35" t="n">
        <f aca="false">H19+H21</f>
        <v>169700</v>
      </c>
      <c r="I22" s="35" t="n">
        <f aca="false">I19+I21</f>
        <v>169700</v>
      </c>
      <c r="J22" s="35" t="n">
        <f aca="false">J19+J21</f>
        <v>169700</v>
      </c>
      <c r="K22" s="35" t="n">
        <f aca="false">K19+K21</f>
        <v>133436.666666667</v>
      </c>
      <c r="L22" s="35" t="n">
        <f aca="false">L19+L21</f>
        <v>133436.666666667</v>
      </c>
      <c r="M22" s="35" t="n">
        <f aca="false">M19+M21</f>
        <v>133436.666666667</v>
      </c>
      <c r="N22" s="35" t="n">
        <f aca="false">N19+N21</f>
        <v>133436.666666667</v>
      </c>
      <c r="O22" s="35" t="n">
        <f aca="false">O19+O21</f>
        <v>158467.731666667</v>
      </c>
      <c r="P22" s="35" t="n">
        <f aca="false">P19+P21</f>
        <v>158467.731666667</v>
      </c>
      <c r="Q22" s="35" t="n">
        <f aca="false">Q19+Q21</f>
        <v>158467.731666667</v>
      </c>
      <c r="R22" s="35" t="n">
        <f aca="false">R19+R21</f>
        <v>158467.731666667</v>
      </c>
      <c r="S22" s="35" t="n">
        <f aca="false">S19+S21</f>
        <v>158467.731666667</v>
      </c>
      <c r="T22" s="35" t="n">
        <f aca="false">T19+T21</f>
        <v>196425.12</v>
      </c>
      <c r="U22" s="35" t="n">
        <f aca="false">U19+U21</f>
        <v>196425.12</v>
      </c>
      <c r="V22" s="35" t="n">
        <f aca="false">V19+V21</f>
        <v>196425.12</v>
      </c>
      <c r="W22" s="35" t="n">
        <f aca="false">W19+W21</f>
        <v>158467.731666667</v>
      </c>
      <c r="X22" s="35" t="n">
        <f aca="false">X19+X21</f>
        <v>158467.731666667</v>
      </c>
      <c r="Y22" s="35" t="n">
        <f aca="false">Y19+Y21</f>
        <v>158467.731666667</v>
      </c>
      <c r="Z22" s="35" t="n">
        <f aca="false">Z19+Z21</f>
        <v>158467.731666667</v>
      </c>
      <c r="AA22" s="35" t="n">
        <f aca="false">AA19+AA21</f>
        <v>188214.260159167</v>
      </c>
      <c r="AB22" s="35" t="n">
        <f aca="false">AB19+AB21</f>
        <v>188214.260159167</v>
      </c>
      <c r="AC22" s="35" t="n">
        <f aca="false">AC19+AC21</f>
        <v>188214.260159167</v>
      </c>
      <c r="AD22" s="35" t="n">
        <f aca="false">AD19+AD21</f>
        <v>188214.260159167</v>
      </c>
      <c r="AE22" s="35" t="n">
        <f aca="false">AE19+AE21</f>
        <v>188214.260159167</v>
      </c>
      <c r="AF22" s="35" t="n">
        <f aca="false">AF19+AF21</f>
        <v>227410.789632</v>
      </c>
      <c r="AG22" s="35" t="n">
        <f aca="false">AG19+AG21</f>
        <v>227410.789632</v>
      </c>
      <c r="AH22" s="35" t="n">
        <f aca="false">AH19+AH21</f>
        <v>227410.789632</v>
      </c>
      <c r="AI22" s="35" t="n">
        <f aca="false">AI19+AI21</f>
        <v>188214.260159167</v>
      </c>
      <c r="AJ22" s="35" t="n">
        <f aca="false">AJ19+AJ21</f>
        <v>188214.260159167</v>
      </c>
      <c r="AK22" s="35" t="n">
        <f aca="false">AK19+AK21</f>
        <v>188214.260159167</v>
      </c>
      <c r="AL22" s="35" t="n">
        <f aca="false">AL19+AL21</f>
        <v>188214.260159167</v>
      </c>
    </row>
    <row r="24" customFormat="false" ht="15" hidden="false" customHeight="false" outlineLevel="0" collapsed="false">
      <c r="A24" s="7" t="s">
        <v>161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customFormat="false" ht="15" hidden="false" customHeight="false" outlineLevel="0" collapsed="false">
      <c r="A25" s="11" t="s">
        <v>162</v>
      </c>
      <c r="C25" s="10" t="n">
        <f aca="false">Headcount!C13</f>
        <v>-41591.6666666667</v>
      </c>
      <c r="D25" s="10" t="n">
        <f aca="false">Headcount!D13</f>
        <v>-41591.6666666667</v>
      </c>
      <c r="E25" s="10" t="n">
        <f aca="false">Headcount!E13</f>
        <v>-41591.6666666667</v>
      </c>
      <c r="F25" s="10" t="n">
        <f aca="false">Headcount!F13</f>
        <v>-41591.6666666667</v>
      </c>
      <c r="G25" s="10" t="n">
        <f aca="false">Headcount!G13</f>
        <v>-41591.6666666667</v>
      </c>
      <c r="H25" s="10" t="n">
        <f aca="false">Headcount!H13</f>
        <v>-41591.6666666667</v>
      </c>
      <c r="I25" s="10" t="n">
        <f aca="false">Headcount!I13</f>
        <v>-41591.6666666667</v>
      </c>
      <c r="J25" s="10" t="n">
        <f aca="false">Headcount!J13</f>
        <v>-41591.6666666667</v>
      </c>
      <c r="K25" s="10" t="n">
        <f aca="false">Headcount!K13</f>
        <v>-41591.6666666667</v>
      </c>
      <c r="L25" s="10" t="n">
        <f aca="false">Headcount!L13</f>
        <v>-41591.6666666667</v>
      </c>
      <c r="M25" s="10" t="n">
        <f aca="false">Headcount!M13</f>
        <v>-41591.6666666667</v>
      </c>
      <c r="N25" s="10" t="n">
        <f aca="false">Headcount!N13</f>
        <v>-41591.6666666667</v>
      </c>
      <c r="O25" s="10" t="n">
        <f aca="false">Headcount!O13</f>
        <v>-47980.1466666667</v>
      </c>
      <c r="P25" s="10" t="n">
        <f aca="false">Headcount!P13</f>
        <v>-47980.1466666667</v>
      </c>
      <c r="Q25" s="10" t="n">
        <f aca="false">Headcount!Q13</f>
        <v>-47980.1466666667</v>
      </c>
      <c r="R25" s="10" t="n">
        <f aca="false">Headcount!R13</f>
        <v>-47980.1466666667</v>
      </c>
      <c r="S25" s="10" t="n">
        <f aca="false">Headcount!S13</f>
        <v>-47980.1466666667</v>
      </c>
      <c r="T25" s="10" t="n">
        <f aca="false">Headcount!T13</f>
        <v>-47980.1466666667</v>
      </c>
      <c r="U25" s="10" t="n">
        <f aca="false">Headcount!U13</f>
        <v>-47980.1466666667</v>
      </c>
      <c r="V25" s="10" t="n">
        <f aca="false">Headcount!V13</f>
        <v>-47980.1466666667</v>
      </c>
      <c r="W25" s="10" t="n">
        <f aca="false">Headcount!W13</f>
        <v>-47980.1466666667</v>
      </c>
      <c r="X25" s="10" t="n">
        <f aca="false">Headcount!X13</f>
        <v>-47980.1466666667</v>
      </c>
      <c r="Y25" s="10" t="n">
        <f aca="false">Headcount!Y13</f>
        <v>-47980.1466666667</v>
      </c>
      <c r="Z25" s="10" t="n">
        <f aca="false">Headcount!Z13</f>
        <v>-47980.1466666667</v>
      </c>
      <c r="AA25" s="10" t="n">
        <f aca="false">Headcount!AA13</f>
        <v>-55349.8971946667</v>
      </c>
      <c r="AB25" s="10" t="n">
        <f aca="false">Headcount!AB13</f>
        <v>-55349.8971946667</v>
      </c>
      <c r="AC25" s="10" t="n">
        <f aca="false">Headcount!AC13</f>
        <v>-55349.8971946667</v>
      </c>
      <c r="AD25" s="10" t="n">
        <f aca="false">Headcount!AD13</f>
        <v>-55349.8971946667</v>
      </c>
      <c r="AE25" s="10" t="n">
        <f aca="false">Headcount!AE13</f>
        <v>-55349.8971946667</v>
      </c>
      <c r="AF25" s="10" t="n">
        <f aca="false">Headcount!AF13</f>
        <v>-55349.8971946667</v>
      </c>
      <c r="AG25" s="10" t="n">
        <f aca="false">Headcount!AG13</f>
        <v>-55349.8971946667</v>
      </c>
      <c r="AH25" s="10" t="n">
        <f aca="false">Headcount!AH13</f>
        <v>-55349.8971946667</v>
      </c>
      <c r="AI25" s="10" t="n">
        <f aca="false">Headcount!AI13</f>
        <v>-55349.8971946667</v>
      </c>
      <c r="AJ25" s="10" t="n">
        <f aca="false">Headcount!AJ13</f>
        <v>-55349.8971946667</v>
      </c>
      <c r="AK25" s="10" t="n">
        <f aca="false">Headcount!AK13</f>
        <v>-55349.8971946667</v>
      </c>
      <c r="AL25" s="10" t="n">
        <f aca="false">Headcount!AL13</f>
        <v>-55349.8971946667</v>
      </c>
    </row>
    <row r="26" customFormat="false" ht="15" hidden="false" customHeight="false" outlineLevel="0" collapsed="false">
      <c r="A26" s="11" t="s">
        <v>163</v>
      </c>
      <c r="C26" s="22" t="n">
        <f aca="false">-C19*Inputs!$E$30</f>
        <v>-31359.1666666667</v>
      </c>
      <c r="D26" s="22" t="n">
        <f aca="false">-D19*Inputs!$E$30</f>
        <v>-31359.1666666667</v>
      </c>
      <c r="E26" s="22" t="n">
        <f aca="false">-E19*Inputs!$E$30</f>
        <v>-31359.1666666667</v>
      </c>
      <c r="F26" s="22" t="n">
        <f aca="false">-F19*Inputs!$E$30</f>
        <v>-31359.1666666667</v>
      </c>
      <c r="G26" s="22" t="n">
        <f aca="false">-G19*Inputs!$E$30</f>
        <v>-31359.1666666667</v>
      </c>
      <c r="H26" s="22" t="n">
        <f aca="false">-H19*Inputs!$E$30</f>
        <v>-40425</v>
      </c>
      <c r="I26" s="22" t="n">
        <f aca="false">-I19*Inputs!$E$30</f>
        <v>-40425</v>
      </c>
      <c r="J26" s="22" t="n">
        <f aca="false">-J19*Inputs!$E$30</f>
        <v>-40425</v>
      </c>
      <c r="K26" s="22" t="n">
        <f aca="false">-K19*Inputs!$E$30</f>
        <v>-31359.1666666667</v>
      </c>
      <c r="L26" s="22" t="n">
        <f aca="false">-L19*Inputs!$E$30</f>
        <v>-31359.1666666667</v>
      </c>
      <c r="M26" s="22" t="n">
        <f aca="false">-M19*Inputs!$E$30</f>
        <v>-31359.1666666667</v>
      </c>
      <c r="N26" s="22" t="n">
        <f aca="false">-N19*Inputs!$E$30</f>
        <v>-31359.1666666667</v>
      </c>
      <c r="O26" s="22" t="n">
        <f aca="false">-O19*Inputs!$E$30</f>
        <v>-37144.9329166667</v>
      </c>
      <c r="P26" s="22" t="n">
        <f aca="false">-P19*Inputs!$E$30</f>
        <v>-37144.9329166667</v>
      </c>
      <c r="Q26" s="22" t="n">
        <f aca="false">-Q19*Inputs!$E$30</f>
        <v>-37144.9329166667</v>
      </c>
      <c r="R26" s="22" t="n">
        <f aca="false">-R19*Inputs!$E$30</f>
        <v>-37144.9329166667</v>
      </c>
      <c r="S26" s="22" t="n">
        <f aca="false">-S19*Inputs!$E$30</f>
        <v>-37144.9329166667</v>
      </c>
      <c r="T26" s="22" t="n">
        <f aca="false">-T19*Inputs!$E$30</f>
        <v>-46634.28</v>
      </c>
      <c r="U26" s="22" t="n">
        <f aca="false">-U19*Inputs!$E$30</f>
        <v>-46634.28</v>
      </c>
      <c r="V26" s="22" t="n">
        <f aca="false">-V19*Inputs!$E$30</f>
        <v>-46634.28</v>
      </c>
      <c r="W26" s="22" t="n">
        <f aca="false">-W19*Inputs!$E$30</f>
        <v>-37144.9329166667</v>
      </c>
      <c r="X26" s="22" t="n">
        <f aca="false">-X19*Inputs!$E$30</f>
        <v>-37144.9329166667</v>
      </c>
      <c r="Y26" s="22" t="n">
        <f aca="false">-Y19*Inputs!$E$30</f>
        <v>-37144.9329166667</v>
      </c>
      <c r="Z26" s="22" t="n">
        <f aca="false">-Z19*Inputs!$E$30</f>
        <v>-37144.9329166667</v>
      </c>
      <c r="AA26" s="22" t="n">
        <f aca="false">-AA19*Inputs!$E$30</f>
        <v>-43998.1730397917</v>
      </c>
      <c r="AB26" s="22" t="n">
        <f aca="false">-AB19*Inputs!$E$30</f>
        <v>-43998.1730397917</v>
      </c>
      <c r="AC26" s="22" t="n">
        <f aca="false">-AC19*Inputs!$E$30</f>
        <v>-43998.1730397917</v>
      </c>
      <c r="AD26" s="22" t="n">
        <f aca="false">-AD19*Inputs!$E$30</f>
        <v>-43998.1730397917</v>
      </c>
      <c r="AE26" s="22" t="n">
        <f aca="false">-AE19*Inputs!$E$30</f>
        <v>-43998.1730397917</v>
      </c>
      <c r="AF26" s="22" t="n">
        <f aca="false">-AF19*Inputs!$E$30</f>
        <v>-53797.305408</v>
      </c>
      <c r="AG26" s="22" t="n">
        <f aca="false">-AG19*Inputs!$E$30</f>
        <v>-53797.305408</v>
      </c>
      <c r="AH26" s="22" t="n">
        <f aca="false">-AH19*Inputs!$E$30</f>
        <v>-53797.305408</v>
      </c>
      <c r="AI26" s="22" t="n">
        <f aca="false">-AI19*Inputs!$E$30</f>
        <v>-43998.1730397917</v>
      </c>
      <c r="AJ26" s="22" t="n">
        <f aca="false">-AJ19*Inputs!$E$30</f>
        <v>-43998.1730397917</v>
      </c>
      <c r="AK26" s="22" t="n">
        <f aca="false">-AK19*Inputs!$E$30</f>
        <v>-43998.1730397917</v>
      </c>
      <c r="AL26" s="22" t="n">
        <f aca="false">-AL19*Inputs!$E$30</f>
        <v>-43998.1730397917</v>
      </c>
    </row>
    <row r="27" customFormat="false" ht="15" hidden="false" customHeight="false" outlineLevel="0" collapsed="false">
      <c r="A27" s="11" t="s">
        <v>164</v>
      </c>
      <c r="C27" s="22" t="n">
        <f aca="false">-C8*Inputs!$E$31*1</f>
        <v>-9100</v>
      </c>
      <c r="D27" s="22" t="n">
        <f aca="false">-D8*Inputs!$E$31*1</f>
        <v>-9100</v>
      </c>
      <c r="E27" s="22" t="n">
        <f aca="false">-E8*Inputs!$E$31*1</f>
        <v>-9100</v>
      </c>
      <c r="F27" s="22" t="n">
        <f aca="false">-F8*Inputs!$E$31*1</f>
        <v>-9100</v>
      </c>
      <c r="G27" s="22" t="n">
        <f aca="false">-G8*Inputs!$E$31*1</f>
        <v>-9100</v>
      </c>
      <c r="H27" s="22" t="n">
        <f aca="false">-H8*Inputs!$E$31*1</f>
        <v>-9100</v>
      </c>
      <c r="I27" s="22" t="n">
        <f aca="false">-I8*Inputs!$E$31*1</f>
        <v>-9100</v>
      </c>
      <c r="J27" s="22" t="n">
        <f aca="false">-J8*Inputs!$E$31*1</f>
        <v>-9100</v>
      </c>
      <c r="K27" s="22" t="n">
        <f aca="false">-K8*Inputs!$E$31*1</f>
        <v>-9100</v>
      </c>
      <c r="L27" s="22" t="n">
        <f aca="false">-L8*Inputs!$E$31*1</f>
        <v>-9100</v>
      </c>
      <c r="M27" s="22" t="n">
        <f aca="false">-M8*Inputs!$E$31*1</f>
        <v>-9100</v>
      </c>
      <c r="N27" s="22" t="n">
        <f aca="false">-N8*Inputs!$E$31*1</f>
        <v>-9100</v>
      </c>
      <c r="O27" s="22" t="n">
        <f aca="false">-O8*Inputs!$E$31*1</f>
        <v>-10192</v>
      </c>
      <c r="P27" s="22" t="n">
        <f aca="false">-P8*Inputs!$E$31*1</f>
        <v>-10192</v>
      </c>
      <c r="Q27" s="22" t="n">
        <f aca="false">-Q8*Inputs!$E$31*1</f>
        <v>-10192</v>
      </c>
      <c r="R27" s="22" t="n">
        <f aca="false">-R8*Inputs!$E$31*1</f>
        <v>-10192</v>
      </c>
      <c r="S27" s="22" t="n">
        <f aca="false">-S8*Inputs!$E$31*1</f>
        <v>-10192</v>
      </c>
      <c r="T27" s="22" t="n">
        <f aca="false">-T8*Inputs!$E$31*1</f>
        <v>-10192</v>
      </c>
      <c r="U27" s="22" t="n">
        <f aca="false">-U8*Inputs!$E$31*1</f>
        <v>-10192</v>
      </c>
      <c r="V27" s="22" t="n">
        <f aca="false">-V8*Inputs!$E$31*1</f>
        <v>-10192</v>
      </c>
      <c r="W27" s="22" t="n">
        <f aca="false">-W8*Inputs!$E$31*1</f>
        <v>-10192</v>
      </c>
      <c r="X27" s="22" t="n">
        <f aca="false">-X8*Inputs!$E$31*1</f>
        <v>-10192</v>
      </c>
      <c r="Y27" s="22" t="n">
        <f aca="false">-Y8*Inputs!$E$31*1</f>
        <v>-10192</v>
      </c>
      <c r="Z27" s="22" t="n">
        <f aca="false">-Z8*Inputs!$E$31*1</f>
        <v>-10192</v>
      </c>
      <c r="AA27" s="22" t="n">
        <f aca="false">-AA8*Inputs!$E$31*1</f>
        <v>-11415.04</v>
      </c>
      <c r="AB27" s="22" t="n">
        <f aca="false">-AB8*Inputs!$E$31*1</f>
        <v>-11415.04</v>
      </c>
      <c r="AC27" s="22" t="n">
        <f aca="false">-AC8*Inputs!$E$31*1</f>
        <v>-11415.04</v>
      </c>
      <c r="AD27" s="22" t="n">
        <f aca="false">-AD8*Inputs!$E$31*1</f>
        <v>-11415.04</v>
      </c>
      <c r="AE27" s="22" t="n">
        <f aca="false">-AE8*Inputs!$E$31*1</f>
        <v>-11415.04</v>
      </c>
      <c r="AF27" s="22" t="n">
        <f aca="false">-AF8*Inputs!$E$31*1</f>
        <v>-11415.04</v>
      </c>
      <c r="AG27" s="22" t="n">
        <f aca="false">-AG8*Inputs!$E$31*1</f>
        <v>-11415.04</v>
      </c>
      <c r="AH27" s="22" t="n">
        <f aca="false">-AH8*Inputs!$E$31*1</f>
        <v>-11415.04</v>
      </c>
      <c r="AI27" s="22" t="n">
        <f aca="false">-AI8*Inputs!$E$31*1</f>
        <v>-11415.04</v>
      </c>
      <c r="AJ27" s="22" t="n">
        <f aca="false">-AJ8*Inputs!$E$31*1</f>
        <v>-11415.04</v>
      </c>
      <c r="AK27" s="22" t="n">
        <f aca="false">-AK8*Inputs!$E$31*1</f>
        <v>-11415.04</v>
      </c>
      <c r="AL27" s="22" t="n">
        <f aca="false">-AL8*Inputs!$E$31*1</f>
        <v>-11415.04</v>
      </c>
    </row>
    <row r="28" customFormat="false" ht="15" hidden="false" customHeight="false" outlineLevel="0" collapsed="false">
      <c r="A28" s="11" t="s">
        <v>165</v>
      </c>
      <c r="C28" s="22" t="n">
        <f aca="false">-C21*Inputs!$E$27</f>
        <v>-3200</v>
      </c>
      <c r="D28" s="22" t="n">
        <f aca="false">-D21*Inputs!$E$27</f>
        <v>-3200</v>
      </c>
      <c r="E28" s="22" t="n">
        <f aca="false">-E21*Inputs!$E$27</f>
        <v>-3200</v>
      </c>
      <c r="F28" s="22" t="n">
        <f aca="false">-F21*Inputs!$E$27</f>
        <v>-3200</v>
      </c>
      <c r="G28" s="22" t="n">
        <f aca="false">-G21*Inputs!$E$27</f>
        <v>-3200</v>
      </c>
      <c r="H28" s="22" t="n">
        <f aca="false">-H21*Inputs!$E$27</f>
        <v>-3200</v>
      </c>
      <c r="I28" s="22" t="n">
        <f aca="false">-I21*Inputs!$E$27</f>
        <v>-3200</v>
      </c>
      <c r="J28" s="22" t="n">
        <f aca="false">-J21*Inputs!$E$27</f>
        <v>-3200</v>
      </c>
      <c r="K28" s="22" t="n">
        <f aca="false">-K21*Inputs!$E$27</f>
        <v>-3200</v>
      </c>
      <c r="L28" s="22" t="n">
        <f aca="false">-L21*Inputs!$E$27</f>
        <v>-3200</v>
      </c>
      <c r="M28" s="22" t="n">
        <f aca="false">-M21*Inputs!$E$27</f>
        <v>-3200</v>
      </c>
      <c r="N28" s="22" t="n">
        <f aca="false">-N21*Inputs!$E$27</f>
        <v>-3200</v>
      </c>
      <c r="O28" s="22" t="n">
        <f aca="false">-O21*Inputs!$E$27</f>
        <v>-3955.2</v>
      </c>
      <c r="P28" s="22" t="n">
        <f aca="false">-P21*Inputs!$E$27</f>
        <v>-3955.2</v>
      </c>
      <c r="Q28" s="22" t="n">
        <f aca="false">-Q21*Inputs!$E$27</f>
        <v>-3955.2</v>
      </c>
      <c r="R28" s="22" t="n">
        <f aca="false">-R21*Inputs!$E$27</f>
        <v>-3955.2</v>
      </c>
      <c r="S28" s="22" t="n">
        <f aca="false">-S21*Inputs!$E$27</f>
        <v>-3955.2</v>
      </c>
      <c r="T28" s="22" t="n">
        <f aca="false">-T21*Inputs!$E$27</f>
        <v>-3955.2</v>
      </c>
      <c r="U28" s="22" t="n">
        <f aca="false">-U21*Inputs!$E$27</f>
        <v>-3955.2</v>
      </c>
      <c r="V28" s="22" t="n">
        <f aca="false">-V21*Inputs!$E$27</f>
        <v>-3955.2</v>
      </c>
      <c r="W28" s="22" t="n">
        <f aca="false">-W21*Inputs!$E$27</f>
        <v>-3955.2</v>
      </c>
      <c r="X28" s="22" t="n">
        <f aca="false">-X21*Inputs!$E$27</f>
        <v>-3955.2</v>
      </c>
      <c r="Y28" s="22" t="n">
        <f aca="false">-Y21*Inputs!$E$27</f>
        <v>-3955.2</v>
      </c>
      <c r="Z28" s="22" t="n">
        <f aca="false">-Z21*Inputs!$E$27</f>
        <v>-3955.2</v>
      </c>
      <c r="AA28" s="22" t="n">
        <f aca="false">-AA21*Inputs!$E$27</f>
        <v>-4888.6272</v>
      </c>
      <c r="AB28" s="22" t="n">
        <f aca="false">-AB21*Inputs!$E$27</f>
        <v>-4888.6272</v>
      </c>
      <c r="AC28" s="22" t="n">
        <f aca="false">-AC21*Inputs!$E$27</f>
        <v>-4888.6272</v>
      </c>
      <c r="AD28" s="22" t="n">
        <f aca="false">-AD21*Inputs!$E$27</f>
        <v>-4888.6272</v>
      </c>
      <c r="AE28" s="22" t="n">
        <f aca="false">-AE21*Inputs!$E$27</f>
        <v>-4888.6272</v>
      </c>
      <c r="AF28" s="22" t="n">
        <f aca="false">-AF21*Inputs!$E$27</f>
        <v>-4888.6272</v>
      </c>
      <c r="AG28" s="22" t="n">
        <f aca="false">-AG21*Inputs!$E$27</f>
        <v>-4888.6272</v>
      </c>
      <c r="AH28" s="22" t="n">
        <f aca="false">-AH21*Inputs!$E$27</f>
        <v>-4888.6272</v>
      </c>
      <c r="AI28" s="22" t="n">
        <f aca="false">-AI21*Inputs!$E$27</f>
        <v>-4888.6272</v>
      </c>
      <c r="AJ28" s="22" t="n">
        <f aca="false">-AJ21*Inputs!$E$27</f>
        <v>-4888.6272</v>
      </c>
      <c r="AK28" s="22" t="n">
        <f aca="false">-AK21*Inputs!$E$27</f>
        <v>-4888.6272</v>
      </c>
      <c r="AL28" s="22" t="n">
        <f aca="false">-AL21*Inputs!$E$27</f>
        <v>-4888.6272</v>
      </c>
    </row>
    <row r="29" customFormat="false" ht="15" hidden="false" customHeight="false" outlineLevel="0" collapsed="false">
      <c r="A29" s="4" t="s">
        <v>161</v>
      </c>
      <c r="C29" s="15" t="n">
        <f aca="false">C25+C26+C27+C28</f>
        <v>-85250.8333333333</v>
      </c>
      <c r="D29" s="15" t="n">
        <f aca="false">D25+D26+D27+D28</f>
        <v>-85250.8333333333</v>
      </c>
      <c r="E29" s="15" t="n">
        <f aca="false">E25+E26+E27+E28</f>
        <v>-85250.8333333333</v>
      </c>
      <c r="F29" s="15" t="n">
        <f aca="false">F25+F26+F27+F28</f>
        <v>-85250.8333333333</v>
      </c>
      <c r="G29" s="15" t="n">
        <f aca="false">G25+G26+G27+G28</f>
        <v>-85250.8333333333</v>
      </c>
      <c r="H29" s="15" t="n">
        <f aca="false">H25+H26+H27+H28</f>
        <v>-94316.6666666667</v>
      </c>
      <c r="I29" s="15" t="n">
        <f aca="false">I25+I26+I27+I28</f>
        <v>-94316.6666666667</v>
      </c>
      <c r="J29" s="15" t="n">
        <f aca="false">J25+J26+J27+J28</f>
        <v>-94316.6666666667</v>
      </c>
      <c r="K29" s="15" t="n">
        <f aca="false">K25+K26+K27+K28</f>
        <v>-85250.8333333333</v>
      </c>
      <c r="L29" s="15" t="n">
        <f aca="false">L25+L26+L27+L28</f>
        <v>-85250.8333333333</v>
      </c>
      <c r="M29" s="15" t="n">
        <f aca="false">M25+M26+M27+M28</f>
        <v>-85250.8333333333</v>
      </c>
      <c r="N29" s="15" t="n">
        <f aca="false">N25+N26+N27+N28</f>
        <v>-85250.8333333333</v>
      </c>
      <c r="O29" s="15" t="n">
        <f aca="false">O25+O26+O27+O28</f>
        <v>-99272.2795833333</v>
      </c>
      <c r="P29" s="15" t="n">
        <f aca="false">P25+P26+P27+P28</f>
        <v>-99272.2795833333</v>
      </c>
      <c r="Q29" s="15" t="n">
        <f aca="false">Q25+Q26+Q27+Q28</f>
        <v>-99272.2795833333</v>
      </c>
      <c r="R29" s="15" t="n">
        <f aca="false">R25+R26+R27+R28</f>
        <v>-99272.2795833333</v>
      </c>
      <c r="S29" s="15" t="n">
        <f aca="false">S25+S26+S27+S28</f>
        <v>-99272.2795833333</v>
      </c>
      <c r="T29" s="15" t="n">
        <f aca="false">T25+T26+T27+T28</f>
        <v>-108761.626666667</v>
      </c>
      <c r="U29" s="15" t="n">
        <f aca="false">U25+U26+U27+U28</f>
        <v>-108761.626666667</v>
      </c>
      <c r="V29" s="15" t="n">
        <f aca="false">V25+V26+V27+V28</f>
        <v>-108761.626666667</v>
      </c>
      <c r="W29" s="15" t="n">
        <f aca="false">W25+W26+W27+W28</f>
        <v>-99272.2795833333</v>
      </c>
      <c r="X29" s="15" t="n">
        <f aca="false">X25+X26+X27+X28</f>
        <v>-99272.2795833333</v>
      </c>
      <c r="Y29" s="15" t="n">
        <f aca="false">Y25+Y26+Y27+Y28</f>
        <v>-99272.2795833333</v>
      </c>
      <c r="Z29" s="15" t="n">
        <f aca="false">Z25+Z26+Z27+Z28</f>
        <v>-99272.2795833333</v>
      </c>
      <c r="AA29" s="15" t="n">
        <f aca="false">AA25+AA26+AA27+AA28</f>
        <v>-115651.737434458</v>
      </c>
      <c r="AB29" s="15" t="n">
        <f aca="false">AB25+AB26+AB27+AB28</f>
        <v>-115651.737434458</v>
      </c>
      <c r="AC29" s="15" t="n">
        <f aca="false">AC25+AC26+AC27+AC28</f>
        <v>-115651.737434458</v>
      </c>
      <c r="AD29" s="15" t="n">
        <f aca="false">AD25+AD26+AD27+AD28</f>
        <v>-115651.737434458</v>
      </c>
      <c r="AE29" s="15" t="n">
        <f aca="false">AE25+AE26+AE27+AE28</f>
        <v>-115651.737434458</v>
      </c>
      <c r="AF29" s="15" t="n">
        <f aca="false">AF25+AF26+AF27+AF28</f>
        <v>-125450.869802667</v>
      </c>
      <c r="AG29" s="15" t="n">
        <f aca="false">AG25+AG26+AG27+AG28</f>
        <v>-125450.869802667</v>
      </c>
      <c r="AH29" s="15" t="n">
        <f aca="false">AH25+AH26+AH27+AH28</f>
        <v>-125450.869802667</v>
      </c>
      <c r="AI29" s="15" t="n">
        <f aca="false">AI25+AI26+AI27+AI28</f>
        <v>-115651.737434458</v>
      </c>
      <c r="AJ29" s="15" t="n">
        <f aca="false">AJ25+AJ26+AJ27+AJ28</f>
        <v>-115651.737434458</v>
      </c>
      <c r="AK29" s="15" t="n">
        <f aca="false">AK25+AK26+AK27+AK28</f>
        <v>-115651.737434458</v>
      </c>
      <c r="AL29" s="15" t="n">
        <f aca="false">AL25+AL26+AL27+AL28</f>
        <v>-115651.737434458</v>
      </c>
    </row>
    <row r="30" customFormat="false" ht="15" hidden="false" customHeight="false" outlineLevel="0" collapsed="false">
      <c r="A30" s="4" t="s">
        <v>8</v>
      </c>
      <c r="C30" s="35" t="n">
        <f aca="false">C22+C29</f>
        <v>48185.8333333333</v>
      </c>
      <c r="D30" s="35" t="n">
        <f aca="false">D22+D29</f>
        <v>48185.8333333333</v>
      </c>
      <c r="E30" s="35" t="n">
        <f aca="false">E22+E29</f>
        <v>48185.8333333333</v>
      </c>
      <c r="F30" s="35" t="n">
        <f aca="false">F22+F29</f>
        <v>48185.8333333333</v>
      </c>
      <c r="G30" s="35" t="n">
        <f aca="false">G22+G29</f>
        <v>48185.8333333333</v>
      </c>
      <c r="H30" s="35" t="n">
        <f aca="false">H22+H29</f>
        <v>75383.3333333333</v>
      </c>
      <c r="I30" s="35" t="n">
        <f aca="false">I22+I29</f>
        <v>75383.3333333333</v>
      </c>
      <c r="J30" s="35" t="n">
        <f aca="false">J22+J29</f>
        <v>75383.3333333333</v>
      </c>
      <c r="K30" s="35" t="n">
        <f aca="false">K22+K29</f>
        <v>48185.8333333333</v>
      </c>
      <c r="L30" s="35" t="n">
        <f aca="false">L22+L29</f>
        <v>48185.8333333333</v>
      </c>
      <c r="M30" s="35" t="n">
        <f aca="false">M22+M29</f>
        <v>48185.8333333333</v>
      </c>
      <c r="N30" s="35" t="n">
        <f aca="false">N22+N29</f>
        <v>48185.8333333333</v>
      </c>
      <c r="O30" s="35" t="n">
        <f aca="false">O22+O29</f>
        <v>59195.4520833333</v>
      </c>
      <c r="P30" s="35" t="n">
        <f aca="false">P22+P29</f>
        <v>59195.4520833333</v>
      </c>
      <c r="Q30" s="35" t="n">
        <f aca="false">Q22+Q29</f>
        <v>59195.4520833333</v>
      </c>
      <c r="R30" s="35" t="n">
        <f aca="false">R22+R29</f>
        <v>59195.4520833333</v>
      </c>
      <c r="S30" s="35" t="n">
        <f aca="false">S22+S29</f>
        <v>59195.4520833333</v>
      </c>
      <c r="T30" s="35" t="n">
        <f aca="false">T22+T29</f>
        <v>87663.4933333333</v>
      </c>
      <c r="U30" s="35" t="n">
        <f aca="false">U22+U29</f>
        <v>87663.4933333333</v>
      </c>
      <c r="V30" s="35" t="n">
        <f aca="false">V22+V29</f>
        <v>87663.4933333333</v>
      </c>
      <c r="W30" s="35" t="n">
        <f aca="false">W22+W29</f>
        <v>59195.4520833333</v>
      </c>
      <c r="X30" s="35" t="n">
        <f aca="false">X22+X29</f>
        <v>59195.4520833333</v>
      </c>
      <c r="Y30" s="35" t="n">
        <f aca="false">Y22+Y29</f>
        <v>59195.4520833333</v>
      </c>
      <c r="Z30" s="35" t="n">
        <f aca="false">Z22+Z29</f>
        <v>59195.4520833333</v>
      </c>
      <c r="AA30" s="35" t="n">
        <f aca="false">AA22+AA29</f>
        <v>72562.5227247083</v>
      </c>
      <c r="AB30" s="35" t="n">
        <f aca="false">AB22+AB29</f>
        <v>72562.5227247083</v>
      </c>
      <c r="AC30" s="35" t="n">
        <f aca="false">AC22+AC29</f>
        <v>72562.5227247083</v>
      </c>
      <c r="AD30" s="35" t="n">
        <f aca="false">AD22+AD29</f>
        <v>72562.5227247083</v>
      </c>
      <c r="AE30" s="35" t="n">
        <f aca="false">AE22+AE29</f>
        <v>72562.5227247083</v>
      </c>
      <c r="AF30" s="35" t="n">
        <f aca="false">AF22+AF29</f>
        <v>101959.919829333</v>
      </c>
      <c r="AG30" s="35" t="n">
        <f aca="false">AG22+AG29</f>
        <v>101959.919829333</v>
      </c>
      <c r="AH30" s="35" t="n">
        <f aca="false">AH22+AH29</f>
        <v>101959.919829333</v>
      </c>
      <c r="AI30" s="35" t="n">
        <f aca="false">AI22+AI29</f>
        <v>72562.5227247083</v>
      </c>
      <c r="AJ30" s="35" t="n">
        <f aca="false">AJ22+AJ29</f>
        <v>72562.5227247083</v>
      </c>
      <c r="AK30" s="35" t="n">
        <f aca="false">AK22+AK29</f>
        <v>72562.5227247083</v>
      </c>
      <c r="AL30" s="35" t="n">
        <f aca="false">AL22+AL29</f>
        <v>72562.5227247083</v>
      </c>
    </row>
    <row r="32" customFormat="false" ht="15" hidden="false" customHeight="false" outlineLevel="0" collapsed="false">
      <c r="A32" s="7" t="s">
        <v>166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customFormat="false" ht="15" hidden="false" customHeight="false" outlineLevel="0" collapsed="false">
      <c r="A33" s="11" t="s">
        <v>167</v>
      </c>
      <c r="C33" s="22" t="n">
        <f aca="false">Headcount!C15-Headcount!C13</f>
        <v>-8625</v>
      </c>
      <c r="D33" s="22" t="n">
        <f aca="false">Headcount!D15-Headcount!D13</f>
        <v>-8625</v>
      </c>
      <c r="E33" s="22" t="n">
        <f aca="false">Headcount!E15-Headcount!E13</f>
        <v>-8625</v>
      </c>
      <c r="F33" s="22" t="n">
        <f aca="false">Headcount!F15-Headcount!F13</f>
        <v>-8625</v>
      </c>
      <c r="G33" s="22" t="n">
        <f aca="false">Headcount!G15-Headcount!G13</f>
        <v>-8625</v>
      </c>
      <c r="H33" s="22" t="n">
        <f aca="false">Headcount!H15-Headcount!H13</f>
        <v>-8625</v>
      </c>
      <c r="I33" s="22" t="n">
        <f aca="false">Headcount!I15-Headcount!I13</f>
        <v>-8625</v>
      </c>
      <c r="J33" s="22" t="n">
        <f aca="false">Headcount!J15-Headcount!J13</f>
        <v>-8625</v>
      </c>
      <c r="K33" s="22" t="n">
        <f aca="false">Headcount!K15-Headcount!K13</f>
        <v>-8625</v>
      </c>
      <c r="L33" s="22" t="n">
        <f aca="false">Headcount!L15-Headcount!L13</f>
        <v>-8625</v>
      </c>
      <c r="M33" s="22" t="n">
        <f aca="false">Headcount!M15-Headcount!M13</f>
        <v>-8625</v>
      </c>
      <c r="N33" s="22" t="n">
        <f aca="false">Headcount!N15-Headcount!N13</f>
        <v>-8625</v>
      </c>
      <c r="O33" s="22" t="n">
        <f aca="false">Headcount!O15-Headcount!O13</f>
        <v>-9772.125</v>
      </c>
      <c r="P33" s="22" t="n">
        <f aca="false">Headcount!P15-Headcount!P13</f>
        <v>-9772.125</v>
      </c>
      <c r="Q33" s="22" t="n">
        <f aca="false">Headcount!Q15-Headcount!Q13</f>
        <v>-9772.125</v>
      </c>
      <c r="R33" s="22" t="n">
        <f aca="false">Headcount!R15-Headcount!R13</f>
        <v>-9772.125</v>
      </c>
      <c r="S33" s="22" t="n">
        <f aca="false">Headcount!S15-Headcount!S13</f>
        <v>-9772.125</v>
      </c>
      <c r="T33" s="22" t="n">
        <f aca="false">Headcount!T15-Headcount!T13</f>
        <v>-9772.125</v>
      </c>
      <c r="U33" s="22" t="n">
        <f aca="false">Headcount!U15-Headcount!U13</f>
        <v>-9772.125</v>
      </c>
      <c r="V33" s="22" t="n">
        <f aca="false">Headcount!V15-Headcount!V13</f>
        <v>-9772.125</v>
      </c>
      <c r="W33" s="22" t="n">
        <f aca="false">Headcount!W15-Headcount!W13</f>
        <v>-9772.125</v>
      </c>
      <c r="X33" s="22" t="n">
        <f aca="false">Headcount!X15-Headcount!X13</f>
        <v>-9772.125</v>
      </c>
      <c r="Y33" s="22" t="n">
        <f aca="false">Headcount!Y15-Headcount!Y13</f>
        <v>-9772.125</v>
      </c>
      <c r="Z33" s="22" t="n">
        <f aca="false">Headcount!Z15-Headcount!Z13</f>
        <v>-9772.125</v>
      </c>
      <c r="AA33" s="22" t="n">
        <f aca="false">Headcount!AA15-Headcount!AA13</f>
        <v>-11071.817625</v>
      </c>
      <c r="AB33" s="22" t="n">
        <f aca="false">Headcount!AB15-Headcount!AB13</f>
        <v>-11071.817625</v>
      </c>
      <c r="AC33" s="22" t="n">
        <f aca="false">Headcount!AC15-Headcount!AC13</f>
        <v>-11071.817625</v>
      </c>
      <c r="AD33" s="22" t="n">
        <f aca="false">Headcount!AD15-Headcount!AD13</f>
        <v>-11071.817625</v>
      </c>
      <c r="AE33" s="22" t="n">
        <f aca="false">Headcount!AE15-Headcount!AE13</f>
        <v>-11071.817625</v>
      </c>
      <c r="AF33" s="22" t="n">
        <f aca="false">Headcount!AF15-Headcount!AF13</f>
        <v>-11071.817625</v>
      </c>
      <c r="AG33" s="22" t="n">
        <f aca="false">Headcount!AG15-Headcount!AG13</f>
        <v>-11071.817625</v>
      </c>
      <c r="AH33" s="22" t="n">
        <f aca="false">Headcount!AH15-Headcount!AH13</f>
        <v>-11071.817625</v>
      </c>
      <c r="AI33" s="22" t="n">
        <f aca="false">Headcount!AI15-Headcount!AI13</f>
        <v>-11071.817625</v>
      </c>
      <c r="AJ33" s="22" t="n">
        <f aca="false">Headcount!AJ15-Headcount!AJ13</f>
        <v>-11071.817625</v>
      </c>
      <c r="AK33" s="22" t="n">
        <f aca="false">Headcount!AK15-Headcount!AK13</f>
        <v>-11071.817625</v>
      </c>
      <c r="AL33" s="22" t="n">
        <f aca="false">Headcount!AL15-Headcount!AL13</f>
        <v>-11071.817625</v>
      </c>
    </row>
    <row r="34" customFormat="false" ht="15" hidden="false" customHeight="false" outlineLevel="0" collapsed="false">
      <c r="A34" s="11" t="s">
        <v>168</v>
      </c>
      <c r="C34" s="22" t="n">
        <f aca="false">-Inputs!$E$11*(1+Inputs!$E$12)^(C$5-1)*1</f>
        <v>-9000</v>
      </c>
      <c r="D34" s="22" t="n">
        <f aca="false">-Inputs!$E$11*(1+Inputs!$E$12)^(D$5-1)*1</f>
        <v>-9000</v>
      </c>
      <c r="E34" s="22" t="n">
        <f aca="false">-Inputs!$E$11*(1+Inputs!$E$12)^(E$5-1)*1</f>
        <v>-9000</v>
      </c>
      <c r="F34" s="22" t="n">
        <f aca="false">-Inputs!$E$11*(1+Inputs!$E$12)^(F$5-1)*1</f>
        <v>-9000</v>
      </c>
      <c r="G34" s="22" t="n">
        <f aca="false">-Inputs!$E$11*(1+Inputs!$E$12)^(G$5-1)*1</f>
        <v>-9000</v>
      </c>
      <c r="H34" s="22" t="n">
        <f aca="false">-Inputs!$E$11*(1+Inputs!$E$12)^(H$5-1)*1</f>
        <v>-9000</v>
      </c>
      <c r="I34" s="22" t="n">
        <f aca="false">-Inputs!$E$11*(1+Inputs!$E$12)^(I$5-1)*1</f>
        <v>-9000</v>
      </c>
      <c r="J34" s="22" t="n">
        <f aca="false">-Inputs!$E$11*(1+Inputs!$E$12)^(J$5-1)*1</f>
        <v>-9000</v>
      </c>
      <c r="K34" s="22" t="n">
        <f aca="false">-Inputs!$E$11*(1+Inputs!$E$12)^(K$5-1)*1</f>
        <v>-9000</v>
      </c>
      <c r="L34" s="22" t="n">
        <f aca="false">-Inputs!$E$11*(1+Inputs!$E$12)^(L$5-1)*1</f>
        <v>-9000</v>
      </c>
      <c r="M34" s="22" t="n">
        <f aca="false">-Inputs!$E$11*(1+Inputs!$E$12)^(M$5-1)*1</f>
        <v>-9000</v>
      </c>
      <c r="N34" s="22" t="n">
        <f aca="false">-Inputs!$E$11*(1+Inputs!$E$12)^(N$5-1)*1</f>
        <v>-9000</v>
      </c>
      <c r="O34" s="22" t="n">
        <f aca="false">-Inputs!$E$11*(1+Inputs!$E$12)^(O$5-1)*1</f>
        <v>-10350</v>
      </c>
      <c r="P34" s="22" t="n">
        <f aca="false">-Inputs!$E$11*(1+Inputs!$E$12)^(P$5-1)*1</f>
        <v>-10350</v>
      </c>
      <c r="Q34" s="22" t="n">
        <f aca="false">-Inputs!$E$11*(1+Inputs!$E$12)^(Q$5-1)*1</f>
        <v>-10350</v>
      </c>
      <c r="R34" s="22" t="n">
        <f aca="false">-Inputs!$E$11*(1+Inputs!$E$12)^(R$5-1)*1</f>
        <v>-10350</v>
      </c>
      <c r="S34" s="22" t="n">
        <f aca="false">-Inputs!$E$11*(1+Inputs!$E$12)^(S$5-1)*1</f>
        <v>-10350</v>
      </c>
      <c r="T34" s="22" t="n">
        <f aca="false">-Inputs!$E$11*(1+Inputs!$E$12)^(T$5-1)*1</f>
        <v>-10350</v>
      </c>
      <c r="U34" s="22" t="n">
        <f aca="false">-Inputs!$E$11*(1+Inputs!$E$12)^(U$5-1)*1</f>
        <v>-10350</v>
      </c>
      <c r="V34" s="22" t="n">
        <f aca="false">-Inputs!$E$11*(1+Inputs!$E$12)^(V$5-1)*1</f>
        <v>-10350</v>
      </c>
      <c r="W34" s="22" t="n">
        <f aca="false">-Inputs!$E$11*(1+Inputs!$E$12)^(W$5-1)*1</f>
        <v>-10350</v>
      </c>
      <c r="X34" s="22" t="n">
        <f aca="false">-Inputs!$E$11*(1+Inputs!$E$12)^(X$5-1)*1</f>
        <v>-10350</v>
      </c>
      <c r="Y34" s="22" t="n">
        <f aca="false">-Inputs!$E$11*(1+Inputs!$E$12)^(Y$5-1)*1</f>
        <v>-10350</v>
      </c>
      <c r="Z34" s="22" t="n">
        <f aca="false">-Inputs!$E$11*(1+Inputs!$E$12)^(Z$5-1)*1</f>
        <v>-10350</v>
      </c>
      <c r="AA34" s="22" t="n">
        <f aca="false">-Inputs!$E$11*(1+Inputs!$E$12)^(AA$5-1)*1</f>
        <v>-11902.5</v>
      </c>
      <c r="AB34" s="22" t="n">
        <f aca="false">-Inputs!$E$11*(1+Inputs!$E$12)^(AB$5-1)*1</f>
        <v>-11902.5</v>
      </c>
      <c r="AC34" s="22" t="n">
        <f aca="false">-Inputs!$E$11*(1+Inputs!$E$12)^(AC$5-1)*1</f>
        <v>-11902.5</v>
      </c>
      <c r="AD34" s="22" t="n">
        <f aca="false">-Inputs!$E$11*(1+Inputs!$E$12)^(AD$5-1)*1</f>
        <v>-11902.5</v>
      </c>
      <c r="AE34" s="22" t="n">
        <f aca="false">-Inputs!$E$11*(1+Inputs!$E$12)^(AE$5-1)*1</f>
        <v>-11902.5</v>
      </c>
      <c r="AF34" s="22" t="n">
        <f aca="false">-Inputs!$E$11*(1+Inputs!$E$12)^(AF$5-1)*1</f>
        <v>-11902.5</v>
      </c>
      <c r="AG34" s="22" t="n">
        <f aca="false">-Inputs!$E$11*(1+Inputs!$E$12)^(AG$5-1)*1</f>
        <v>-11902.5</v>
      </c>
      <c r="AH34" s="22" t="n">
        <f aca="false">-Inputs!$E$11*(1+Inputs!$E$12)^(AH$5-1)*1</f>
        <v>-11902.5</v>
      </c>
      <c r="AI34" s="22" t="n">
        <f aca="false">-Inputs!$E$11*(1+Inputs!$E$12)^(AI$5-1)*1</f>
        <v>-11902.5</v>
      </c>
      <c r="AJ34" s="22" t="n">
        <f aca="false">-Inputs!$E$11*(1+Inputs!$E$12)^(AJ$5-1)*1</f>
        <v>-11902.5</v>
      </c>
      <c r="AK34" s="22" t="n">
        <f aca="false">-Inputs!$E$11*(1+Inputs!$E$12)^(AK$5-1)*1</f>
        <v>-11902.5</v>
      </c>
      <c r="AL34" s="22" t="n">
        <f aca="false">-Inputs!$E$11*(1+Inputs!$E$12)^(AL$5-1)*1</f>
        <v>-11902.5</v>
      </c>
    </row>
    <row r="35" customFormat="false" ht="15" hidden="false" customHeight="false" outlineLevel="0" collapsed="false">
      <c r="A35" s="11" t="s">
        <v>169</v>
      </c>
      <c r="C35" s="22" t="n">
        <f aca="false">-C8*Inputs!$E$32*1</f>
        <v>-840</v>
      </c>
      <c r="D35" s="22" t="n">
        <f aca="false">-D8*Inputs!$E$32*1</f>
        <v>-840</v>
      </c>
      <c r="E35" s="22" t="n">
        <f aca="false">-E8*Inputs!$E$32*1</f>
        <v>-840</v>
      </c>
      <c r="F35" s="22" t="n">
        <f aca="false">-F8*Inputs!$E$32*1</f>
        <v>-840</v>
      </c>
      <c r="G35" s="22" t="n">
        <f aca="false">-G8*Inputs!$E$32*1</f>
        <v>-840</v>
      </c>
      <c r="H35" s="22" t="n">
        <f aca="false">-H8*Inputs!$E$32*1</f>
        <v>-840</v>
      </c>
      <c r="I35" s="22" t="n">
        <f aca="false">-I8*Inputs!$E$32*1</f>
        <v>-840</v>
      </c>
      <c r="J35" s="22" t="n">
        <f aca="false">-J8*Inputs!$E$32*1</f>
        <v>-840</v>
      </c>
      <c r="K35" s="22" t="n">
        <f aca="false">-K8*Inputs!$E$32*1</f>
        <v>-840</v>
      </c>
      <c r="L35" s="22" t="n">
        <f aca="false">-L8*Inputs!$E$32*1</f>
        <v>-840</v>
      </c>
      <c r="M35" s="22" t="n">
        <f aca="false">-M8*Inputs!$E$32*1</f>
        <v>-840</v>
      </c>
      <c r="N35" s="22" t="n">
        <f aca="false">-N8*Inputs!$E$32*1</f>
        <v>-840</v>
      </c>
      <c r="O35" s="22" t="n">
        <f aca="false">-O8*Inputs!$E$32*1</f>
        <v>-940.8</v>
      </c>
      <c r="P35" s="22" t="n">
        <f aca="false">-P8*Inputs!$E$32*1</f>
        <v>-940.8</v>
      </c>
      <c r="Q35" s="22" t="n">
        <f aca="false">-Q8*Inputs!$E$32*1</f>
        <v>-940.8</v>
      </c>
      <c r="R35" s="22" t="n">
        <f aca="false">-R8*Inputs!$E$32*1</f>
        <v>-940.8</v>
      </c>
      <c r="S35" s="22" t="n">
        <f aca="false">-S8*Inputs!$E$32*1</f>
        <v>-940.8</v>
      </c>
      <c r="T35" s="22" t="n">
        <f aca="false">-T8*Inputs!$E$32*1</f>
        <v>-940.8</v>
      </c>
      <c r="U35" s="22" t="n">
        <f aca="false">-U8*Inputs!$E$32*1</f>
        <v>-940.8</v>
      </c>
      <c r="V35" s="22" t="n">
        <f aca="false">-V8*Inputs!$E$32*1</f>
        <v>-940.8</v>
      </c>
      <c r="W35" s="22" t="n">
        <f aca="false">-W8*Inputs!$E$32*1</f>
        <v>-940.8</v>
      </c>
      <c r="X35" s="22" t="n">
        <f aca="false">-X8*Inputs!$E$32*1</f>
        <v>-940.8</v>
      </c>
      <c r="Y35" s="22" t="n">
        <f aca="false">-Y8*Inputs!$E$32*1</f>
        <v>-940.8</v>
      </c>
      <c r="Z35" s="22" t="n">
        <f aca="false">-Z8*Inputs!$E$32*1</f>
        <v>-940.8</v>
      </c>
      <c r="AA35" s="22" t="n">
        <f aca="false">-AA8*Inputs!$E$32*1</f>
        <v>-1053.696</v>
      </c>
      <c r="AB35" s="22" t="n">
        <f aca="false">-AB8*Inputs!$E$32*1</f>
        <v>-1053.696</v>
      </c>
      <c r="AC35" s="22" t="n">
        <f aca="false">-AC8*Inputs!$E$32*1</f>
        <v>-1053.696</v>
      </c>
      <c r="AD35" s="22" t="n">
        <f aca="false">-AD8*Inputs!$E$32*1</f>
        <v>-1053.696</v>
      </c>
      <c r="AE35" s="22" t="n">
        <f aca="false">-AE8*Inputs!$E$32*1</f>
        <v>-1053.696</v>
      </c>
      <c r="AF35" s="22" t="n">
        <f aca="false">-AF8*Inputs!$E$32*1</f>
        <v>-1053.696</v>
      </c>
      <c r="AG35" s="22" t="n">
        <f aca="false">-AG8*Inputs!$E$32*1</f>
        <v>-1053.696</v>
      </c>
      <c r="AH35" s="22" t="n">
        <f aca="false">-AH8*Inputs!$E$32*1</f>
        <v>-1053.696</v>
      </c>
      <c r="AI35" s="22" t="n">
        <f aca="false">-AI8*Inputs!$E$32*1</f>
        <v>-1053.696</v>
      </c>
      <c r="AJ35" s="22" t="n">
        <f aca="false">-AJ8*Inputs!$E$32*1</f>
        <v>-1053.696</v>
      </c>
      <c r="AK35" s="22" t="n">
        <f aca="false">-AK8*Inputs!$E$32*1</f>
        <v>-1053.696</v>
      </c>
      <c r="AL35" s="22" t="n">
        <f aca="false">-AL8*Inputs!$E$32*1</f>
        <v>-1053.696</v>
      </c>
    </row>
    <row r="36" customFormat="false" ht="15" hidden="false" customHeight="false" outlineLevel="0" collapsed="false">
      <c r="A36" s="11" t="s">
        <v>170</v>
      </c>
      <c r="C36" s="22" t="n">
        <f aca="false">-Inputs!$E$33*1</f>
        <v>-3500</v>
      </c>
      <c r="D36" s="22" t="n">
        <f aca="false">-Inputs!$E$33*1</f>
        <v>-3500</v>
      </c>
      <c r="E36" s="22" t="n">
        <f aca="false">-Inputs!$E$33*1</f>
        <v>-3500</v>
      </c>
      <c r="F36" s="22" t="n">
        <f aca="false">-Inputs!$E$33*1</f>
        <v>-3500</v>
      </c>
      <c r="G36" s="22" t="n">
        <f aca="false">-Inputs!$E$33*1</f>
        <v>-3500</v>
      </c>
      <c r="H36" s="22" t="n">
        <f aca="false">-Inputs!$E$33*1</f>
        <v>-3500</v>
      </c>
      <c r="I36" s="22" t="n">
        <f aca="false">-Inputs!$E$33*1</f>
        <v>-3500</v>
      </c>
      <c r="J36" s="22" t="n">
        <f aca="false">-Inputs!$E$33*1</f>
        <v>-3500</v>
      </c>
      <c r="K36" s="22" t="n">
        <f aca="false">-Inputs!$E$33*1</f>
        <v>-3500</v>
      </c>
      <c r="L36" s="22" t="n">
        <f aca="false">-Inputs!$E$33*1</f>
        <v>-3500</v>
      </c>
      <c r="M36" s="22" t="n">
        <f aca="false">-Inputs!$E$33*1</f>
        <v>-3500</v>
      </c>
      <c r="N36" s="22" t="n">
        <f aca="false">-Inputs!$E$33*1</f>
        <v>-3500</v>
      </c>
      <c r="O36" s="22" t="n">
        <f aca="false">-Inputs!$E$33*1</f>
        <v>-3500</v>
      </c>
      <c r="P36" s="22" t="n">
        <f aca="false">-Inputs!$E$33*1</f>
        <v>-3500</v>
      </c>
      <c r="Q36" s="22" t="n">
        <f aca="false">-Inputs!$E$33*1</f>
        <v>-3500</v>
      </c>
      <c r="R36" s="22" t="n">
        <f aca="false">-Inputs!$E$33*1</f>
        <v>-3500</v>
      </c>
      <c r="S36" s="22" t="n">
        <f aca="false">-Inputs!$E$33*1</f>
        <v>-3500</v>
      </c>
      <c r="T36" s="22" t="n">
        <f aca="false">-Inputs!$E$33*1</f>
        <v>-3500</v>
      </c>
      <c r="U36" s="22" t="n">
        <f aca="false">-Inputs!$E$33*1</f>
        <v>-3500</v>
      </c>
      <c r="V36" s="22" t="n">
        <f aca="false">-Inputs!$E$33*1</f>
        <v>-3500</v>
      </c>
      <c r="W36" s="22" t="n">
        <f aca="false">-Inputs!$E$33*1</f>
        <v>-3500</v>
      </c>
      <c r="X36" s="22" t="n">
        <f aca="false">-Inputs!$E$33*1</f>
        <v>-3500</v>
      </c>
      <c r="Y36" s="22" t="n">
        <f aca="false">-Inputs!$E$33*1</f>
        <v>-3500</v>
      </c>
      <c r="Z36" s="22" t="n">
        <f aca="false">-Inputs!$E$33*1</f>
        <v>-3500</v>
      </c>
      <c r="AA36" s="22" t="n">
        <f aca="false">-Inputs!$E$33*1</f>
        <v>-3500</v>
      </c>
      <c r="AB36" s="22" t="n">
        <f aca="false">-Inputs!$E$33*1</f>
        <v>-3500</v>
      </c>
      <c r="AC36" s="22" t="n">
        <f aca="false">-Inputs!$E$33*1</f>
        <v>-3500</v>
      </c>
      <c r="AD36" s="22" t="n">
        <f aca="false">-Inputs!$E$33*1</f>
        <v>-3500</v>
      </c>
      <c r="AE36" s="22" t="n">
        <f aca="false">-Inputs!$E$33*1</f>
        <v>-3500</v>
      </c>
      <c r="AF36" s="22" t="n">
        <f aca="false">-Inputs!$E$33*1</f>
        <v>-3500</v>
      </c>
      <c r="AG36" s="22" t="n">
        <f aca="false">-Inputs!$E$33*1</f>
        <v>-3500</v>
      </c>
      <c r="AH36" s="22" t="n">
        <f aca="false">-Inputs!$E$33*1</f>
        <v>-3500</v>
      </c>
      <c r="AI36" s="22" t="n">
        <f aca="false">-Inputs!$E$33*1</f>
        <v>-3500</v>
      </c>
      <c r="AJ36" s="22" t="n">
        <f aca="false">-Inputs!$E$33*1</f>
        <v>-3500</v>
      </c>
      <c r="AK36" s="22" t="n">
        <f aca="false">-Inputs!$E$33*1</f>
        <v>-3500</v>
      </c>
      <c r="AL36" s="22" t="n">
        <f aca="false">-Inputs!$E$33*1</f>
        <v>-3500</v>
      </c>
    </row>
    <row r="37" customFormat="false" ht="15" hidden="false" customHeight="false" outlineLevel="0" collapsed="false">
      <c r="A37" s="11" t="s">
        <v>171</v>
      </c>
      <c r="C37" s="22" t="n">
        <f aca="false">-Inputs!$E$34*1</f>
        <v>-4500</v>
      </c>
      <c r="D37" s="22" t="n">
        <f aca="false">-Inputs!$E$34*1</f>
        <v>-4500</v>
      </c>
      <c r="E37" s="22" t="n">
        <f aca="false">-Inputs!$E$34*1</f>
        <v>-4500</v>
      </c>
      <c r="F37" s="22" t="n">
        <f aca="false">-Inputs!$E$34*1</f>
        <v>-4500</v>
      </c>
      <c r="G37" s="22" t="n">
        <f aca="false">-Inputs!$E$34*1</f>
        <v>-4500</v>
      </c>
      <c r="H37" s="22" t="n">
        <f aca="false">-Inputs!$E$34*1</f>
        <v>-4500</v>
      </c>
      <c r="I37" s="22" t="n">
        <f aca="false">-Inputs!$E$34*1</f>
        <v>-4500</v>
      </c>
      <c r="J37" s="22" t="n">
        <f aca="false">-Inputs!$E$34*1</f>
        <v>-4500</v>
      </c>
      <c r="K37" s="22" t="n">
        <f aca="false">-Inputs!$E$34*1</f>
        <v>-4500</v>
      </c>
      <c r="L37" s="22" t="n">
        <f aca="false">-Inputs!$E$34*1</f>
        <v>-4500</v>
      </c>
      <c r="M37" s="22" t="n">
        <f aca="false">-Inputs!$E$34*1</f>
        <v>-4500</v>
      </c>
      <c r="N37" s="22" t="n">
        <f aca="false">-Inputs!$E$34*1</f>
        <v>-4500</v>
      </c>
      <c r="O37" s="22" t="n">
        <f aca="false">-Inputs!$E$34*1</f>
        <v>-4500</v>
      </c>
      <c r="P37" s="22" t="n">
        <f aca="false">-Inputs!$E$34*1</f>
        <v>-4500</v>
      </c>
      <c r="Q37" s="22" t="n">
        <f aca="false">-Inputs!$E$34*1</f>
        <v>-4500</v>
      </c>
      <c r="R37" s="22" t="n">
        <f aca="false">-Inputs!$E$34*1</f>
        <v>-4500</v>
      </c>
      <c r="S37" s="22" t="n">
        <f aca="false">-Inputs!$E$34*1</f>
        <v>-4500</v>
      </c>
      <c r="T37" s="22" t="n">
        <f aca="false">-Inputs!$E$34*1</f>
        <v>-4500</v>
      </c>
      <c r="U37" s="22" t="n">
        <f aca="false">-Inputs!$E$34*1</f>
        <v>-4500</v>
      </c>
      <c r="V37" s="22" t="n">
        <f aca="false">-Inputs!$E$34*1</f>
        <v>-4500</v>
      </c>
      <c r="W37" s="22" t="n">
        <f aca="false">-Inputs!$E$34*1</f>
        <v>-4500</v>
      </c>
      <c r="X37" s="22" t="n">
        <f aca="false">-Inputs!$E$34*1</f>
        <v>-4500</v>
      </c>
      <c r="Y37" s="22" t="n">
        <f aca="false">-Inputs!$E$34*1</f>
        <v>-4500</v>
      </c>
      <c r="Z37" s="22" t="n">
        <f aca="false">-Inputs!$E$34*1</f>
        <v>-4500</v>
      </c>
      <c r="AA37" s="22" t="n">
        <f aca="false">-Inputs!$E$34*1</f>
        <v>-4500</v>
      </c>
      <c r="AB37" s="22" t="n">
        <f aca="false">-Inputs!$E$34*1</f>
        <v>-4500</v>
      </c>
      <c r="AC37" s="22" t="n">
        <f aca="false">-Inputs!$E$34*1</f>
        <v>-4500</v>
      </c>
      <c r="AD37" s="22" t="n">
        <f aca="false">-Inputs!$E$34*1</f>
        <v>-4500</v>
      </c>
      <c r="AE37" s="22" t="n">
        <f aca="false">-Inputs!$E$34*1</f>
        <v>-4500</v>
      </c>
      <c r="AF37" s="22" t="n">
        <f aca="false">-Inputs!$E$34*1</f>
        <v>-4500</v>
      </c>
      <c r="AG37" s="22" t="n">
        <f aca="false">-Inputs!$E$34*1</f>
        <v>-4500</v>
      </c>
      <c r="AH37" s="22" t="n">
        <f aca="false">-Inputs!$E$34*1</f>
        <v>-4500</v>
      </c>
      <c r="AI37" s="22" t="n">
        <f aca="false">-Inputs!$E$34*1</f>
        <v>-4500</v>
      </c>
      <c r="AJ37" s="22" t="n">
        <f aca="false">-Inputs!$E$34*1</f>
        <v>-4500</v>
      </c>
      <c r="AK37" s="22" t="n">
        <f aca="false">-Inputs!$E$34*1</f>
        <v>-4500</v>
      </c>
      <c r="AL37" s="22" t="n">
        <f aca="false">-Inputs!$E$34*1</f>
        <v>-4500</v>
      </c>
    </row>
    <row r="38" customFormat="false" ht="15" hidden="false" customHeight="false" outlineLevel="0" collapsed="false">
      <c r="A38" s="11" t="s">
        <v>172</v>
      </c>
      <c r="C38" s="22" t="n">
        <f aca="false">-Inputs!$E$35*1</f>
        <v>-2500</v>
      </c>
      <c r="D38" s="22" t="n">
        <f aca="false">-Inputs!$E$35*1</f>
        <v>-2500</v>
      </c>
      <c r="E38" s="22" t="n">
        <f aca="false">-Inputs!$E$35*1</f>
        <v>-2500</v>
      </c>
      <c r="F38" s="22" t="n">
        <f aca="false">-Inputs!$E$35*1</f>
        <v>-2500</v>
      </c>
      <c r="G38" s="22" t="n">
        <f aca="false">-Inputs!$E$35*1</f>
        <v>-2500</v>
      </c>
      <c r="H38" s="22" t="n">
        <f aca="false">-Inputs!$E$35*1</f>
        <v>-2500</v>
      </c>
      <c r="I38" s="22" t="n">
        <f aca="false">-Inputs!$E$35*1</f>
        <v>-2500</v>
      </c>
      <c r="J38" s="22" t="n">
        <f aca="false">-Inputs!$E$35*1</f>
        <v>-2500</v>
      </c>
      <c r="K38" s="22" t="n">
        <f aca="false">-Inputs!$E$35*1</f>
        <v>-2500</v>
      </c>
      <c r="L38" s="22" t="n">
        <f aca="false">-Inputs!$E$35*1</f>
        <v>-2500</v>
      </c>
      <c r="M38" s="22" t="n">
        <f aca="false">-Inputs!$E$35*1</f>
        <v>-2500</v>
      </c>
      <c r="N38" s="22" t="n">
        <f aca="false">-Inputs!$E$35*1</f>
        <v>-2500</v>
      </c>
      <c r="O38" s="22" t="n">
        <f aca="false">-Inputs!$E$35*1</f>
        <v>-2500</v>
      </c>
      <c r="P38" s="22" t="n">
        <f aca="false">-Inputs!$E$35*1</f>
        <v>-2500</v>
      </c>
      <c r="Q38" s="22" t="n">
        <f aca="false">-Inputs!$E$35*1</f>
        <v>-2500</v>
      </c>
      <c r="R38" s="22" t="n">
        <f aca="false">-Inputs!$E$35*1</f>
        <v>-2500</v>
      </c>
      <c r="S38" s="22" t="n">
        <f aca="false">-Inputs!$E$35*1</f>
        <v>-2500</v>
      </c>
      <c r="T38" s="22" t="n">
        <f aca="false">-Inputs!$E$35*1</f>
        <v>-2500</v>
      </c>
      <c r="U38" s="22" t="n">
        <f aca="false">-Inputs!$E$35*1</f>
        <v>-2500</v>
      </c>
      <c r="V38" s="22" t="n">
        <f aca="false">-Inputs!$E$35*1</f>
        <v>-2500</v>
      </c>
      <c r="W38" s="22" t="n">
        <f aca="false">-Inputs!$E$35*1</f>
        <v>-2500</v>
      </c>
      <c r="X38" s="22" t="n">
        <f aca="false">-Inputs!$E$35*1</f>
        <v>-2500</v>
      </c>
      <c r="Y38" s="22" t="n">
        <f aca="false">-Inputs!$E$35*1</f>
        <v>-2500</v>
      </c>
      <c r="Z38" s="22" t="n">
        <f aca="false">-Inputs!$E$35*1</f>
        <v>-2500</v>
      </c>
      <c r="AA38" s="22" t="n">
        <f aca="false">-Inputs!$E$35*1</f>
        <v>-2500</v>
      </c>
      <c r="AB38" s="22" t="n">
        <f aca="false">-Inputs!$E$35*1</f>
        <v>-2500</v>
      </c>
      <c r="AC38" s="22" t="n">
        <f aca="false">-Inputs!$E$35*1</f>
        <v>-2500</v>
      </c>
      <c r="AD38" s="22" t="n">
        <f aca="false">-Inputs!$E$35*1</f>
        <v>-2500</v>
      </c>
      <c r="AE38" s="22" t="n">
        <f aca="false">-Inputs!$E$35*1</f>
        <v>-2500</v>
      </c>
      <c r="AF38" s="22" t="n">
        <f aca="false">-Inputs!$E$35*1</f>
        <v>-2500</v>
      </c>
      <c r="AG38" s="22" t="n">
        <f aca="false">-Inputs!$E$35*1</f>
        <v>-2500</v>
      </c>
      <c r="AH38" s="22" t="n">
        <f aca="false">-Inputs!$E$35*1</f>
        <v>-2500</v>
      </c>
      <c r="AI38" s="22" t="n">
        <f aca="false">-Inputs!$E$35*1</f>
        <v>-2500</v>
      </c>
      <c r="AJ38" s="22" t="n">
        <f aca="false">-Inputs!$E$35*1</f>
        <v>-2500</v>
      </c>
      <c r="AK38" s="22" t="n">
        <f aca="false">-Inputs!$E$35*1</f>
        <v>-2500</v>
      </c>
      <c r="AL38" s="22" t="n">
        <f aca="false">-Inputs!$E$35*1</f>
        <v>-2500</v>
      </c>
    </row>
    <row r="39" customFormat="false" ht="15" hidden="false" customHeight="false" outlineLevel="0" collapsed="false">
      <c r="A39" s="11" t="s">
        <v>173</v>
      </c>
      <c r="C39" s="22" t="n">
        <f aca="false">-C22*Inputs!$E$36</f>
        <v>-3602.79</v>
      </c>
      <c r="D39" s="22" t="n">
        <f aca="false">-D22*Inputs!$E$36</f>
        <v>-3602.79</v>
      </c>
      <c r="E39" s="22" t="n">
        <f aca="false">-E22*Inputs!$E$36</f>
        <v>-3602.79</v>
      </c>
      <c r="F39" s="22" t="n">
        <f aca="false">-F22*Inputs!$E$36</f>
        <v>-3602.79</v>
      </c>
      <c r="G39" s="22" t="n">
        <f aca="false">-G22*Inputs!$E$36</f>
        <v>-3602.79</v>
      </c>
      <c r="H39" s="22" t="n">
        <f aca="false">-H22*Inputs!$E$36</f>
        <v>-4581.9</v>
      </c>
      <c r="I39" s="22" t="n">
        <f aca="false">-I22*Inputs!$E$36</f>
        <v>-4581.9</v>
      </c>
      <c r="J39" s="22" t="n">
        <f aca="false">-J22*Inputs!$E$36</f>
        <v>-4581.9</v>
      </c>
      <c r="K39" s="22" t="n">
        <f aca="false">-K22*Inputs!$E$36</f>
        <v>-3602.79</v>
      </c>
      <c r="L39" s="22" t="n">
        <f aca="false">-L22*Inputs!$E$36</f>
        <v>-3602.79</v>
      </c>
      <c r="M39" s="22" t="n">
        <f aca="false">-M22*Inputs!$E$36</f>
        <v>-3602.79</v>
      </c>
      <c r="N39" s="22" t="n">
        <f aca="false">-N22*Inputs!$E$36</f>
        <v>-3602.79</v>
      </c>
      <c r="O39" s="22" t="n">
        <f aca="false">-O22*Inputs!$E$36</f>
        <v>-4278.628755</v>
      </c>
      <c r="P39" s="22" t="n">
        <f aca="false">-P22*Inputs!$E$36</f>
        <v>-4278.628755</v>
      </c>
      <c r="Q39" s="22" t="n">
        <f aca="false">-Q22*Inputs!$E$36</f>
        <v>-4278.628755</v>
      </c>
      <c r="R39" s="22" t="n">
        <f aca="false">-R22*Inputs!$E$36</f>
        <v>-4278.628755</v>
      </c>
      <c r="S39" s="22" t="n">
        <f aca="false">-S22*Inputs!$E$36</f>
        <v>-4278.628755</v>
      </c>
      <c r="T39" s="22" t="n">
        <f aca="false">-T22*Inputs!$E$36</f>
        <v>-5303.47824</v>
      </c>
      <c r="U39" s="22" t="n">
        <f aca="false">-U22*Inputs!$E$36</f>
        <v>-5303.47824</v>
      </c>
      <c r="V39" s="22" t="n">
        <f aca="false">-V22*Inputs!$E$36</f>
        <v>-5303.47824</v>
      </c>
      <c r="W39" s="22" t="n">
        <f aca="false">-W22*Inputs!$E$36</f>
        <v>-4278.628755</v>
      </c>
      <c r="X39" s="22" t="n">
        <f aca="false">-X22*Inputs!$E$36</f>
        <v>-4278.628755</v>
      </c>
      <c r="Y39" s="22" t="n">
        <f aca="false">-Y22*Inputs!$E$36</f>
        <v>-4278.628755</v>
      </c>
      <c r="Z39" s="22" t="n">
        <f aca="false">-Z22*Inputs!$E$36</f>
        <v>-4278.628755</v>
      </c>
      <c r="AA39" s="22" t="n">
        <f aca="false">-AA22*Inputs!$E$36</f>
        <v>-5081.7850242975</v>
      </c>
      <c r="AB39" s="22" t="n">
        <f aca="false">-AB22*Inputs!$E$36</f>
        <v>-5081.7850242975</v>
      </c>
      <c r="AC39" s="22" t="n">
        <f aca="false">-AC22*Inputs!$E$36</f>
        <v>-5081.7850242975</v>
      </c>
      <c r="AD39" s="22" t="n">
        <f aca="false">-AD22*Inputs!$E$36</f>
        <v>-5081.7850242975</v>
      </c>
      <c r="AE39" s="22" t="n">
        <f aca="false">-AE22*Inputs!$E$36</f>
        <v>-5081.7850242975</v>
      </c>
      <c r="AF39" s="22" t="n">
        <f aca="false">-AF22*Inputs!$E$36</f>
        <v>-6140.091320064</v>
      </c>
      <c r="AG39" s="22" t="n">
        <f aca="false">-AG22*Inputs!$E$36</f>
        <v>-6140.091320064</v>
      </c>
      <c r="AH39" s="22" t="n">
        <f aca="false">-AH22*Inputs!$E$36</f>
        <v>-6140.091320064</v>
      </c>
      <c r="AI39" s="22" t="n">
        <f aca="false">-AI22*Inputs!$E$36</f>
        <v>-5081.7850242975</v>
      </c>
      <c r="AJ39" s="22" t="n">
        <f aca="false">-AJ22*Inputs!$E$36</f>
        <v>-5081.7850242975</v>
      </c>
      <c r="AK39" s="22" t="n">
        <f aca="false">-AK22*Inputs!$E$36</f>
        <v>-5081.7850242975</v>
      </c>
      <c r="AL39" s="22" t="n">
        <f aca="false">-AL22*Inputs!$E$36</f>
        <v>-5081.7850242975</v>
      </c>
    </row>
    <row r="40" customFormat="false" ht="15" hidden="false" customHeight="false" outlineLevel="0" collapsed="false">
      <c r="A40" s="4" t="s">
        <v>174</v>
      </c>
      <c r="C40" s="35" t="n">
        <f aca="false">C33+C34+C35+C36+C37+C38+C39</f>
        <v>-32567.79</v>
      </c>
      <c r="D40" s="35" t="n">
        <f aca="false">D33+D34+D35+D36+D37+D38+D39</f>
        <v>-32567.79</v>
      </c>
      <c r="E40" s="35" t="n">
        <f aca="false">E33+E34+E35+E36+E37+E38+E39</f>
        <v>-32567.79</v>
      </c>
      <c r="F40" s="35" t="n">
        <f aca="false">F33+F34+F35+F36+F37+F38+F39</f>
        <v>-32567.79</v>
      </c>
      <c r="G40" s="35" t="n">
        <f aca="false">G33+G34+G35+G36+G37+G38+G39</f>
        <v>-32567.79</v>
      </c>
      <c r="H40" s="35" t="n">
        <f aca="false">H33+H34+H35+H36+H37+H38+H39</f>
        <v>-33546.9</v>
      </c>
      <c r="I40" s="35" t="n">
        <f aca="false">I33+I34+I35+I36+I37+I38+I39</f>
        <v>-33546.9</v>
      </c>
      <c r="J40" s="35" t="n">
        <f aca="false">J33+J34+J35+J36+J37+J38+J39</f>
        <v>-33546.9</v>
      </c>
      <c r="K40" s="35" t="n">
        <f aca="false">K33+K34+K35+K36+K37+K38+K39</f>
        <v>-32567.79</v>
      </c>
      <c r="L40" s="35" t="n">
        <f aca="false">L33+L34+L35+L36+L37+L38+L39</f>
        <v>-32567.79</v>
      </c>
      <c r="M40" s="35" t="n">
        <f aca="false">M33+M34+M35+M36+M37+M38+M39</f>
        <v>-32567.79</v>
      </c>
      <c r="N40" s="35" t="n">
        <f aca="false">N33+N34+N35+N36+N37+N38+N39</f>
        <v>-32567.79</v>
      </c>
      <c r="O40" s="35" t="n">
        <f aca="false">O33+O34+O35+O36+O37+O38+O39</f>
        <v>-35841.553755</v>
      </c>
      <c r="P40" s="35" t="n">
        <f aca="false">P33+P34+P35+P36+P37+P38+P39</f>
        <v>-35841.553755</v>
      </c>
      <c r="Q40" s="35" t="n">
        <f aca="false">Q33+Q34+Q35+Q36+Q37+Q38+Q39</f>
        <v>-35841.553755</v>
      </c>
      <c r="R40" s="35" t="n">
        <f aca="false">R33+R34+R35+R36+R37+R38+R39</f>
        <v>-35841.553755</v>
      </c>
      <c r="S40" s="35" t="n">
        <f aca="false">S33+S34+S35+S36+S37+S38+S39</f>
        <v>-35841.553755</v>
      </c>
      <c r="T40" s="35" t="n">
        <f aca="false">T33+T34+T35+T36+T37+T38+T39</f>
        <v>-36866.40324</v>
      </c>
      <c r="U40" s="35" t="n">
        <f aca="false">U33+U34+U35+U36+U37+U38+U39</f>
        <v>-36866.40324</v>
      </c>
      <c r="V40" s="35" t="n">
        <f aca="false">V33+V34+V35+V36+V37+V38+V39</f>
        <v>-36866.40324</v>
      </c>
      <c r="W40" s="35" t="n">
        <f aca="false">W33+W34+W35+W36+W37+W38+W39</f>
        <v>-35841.553755</v>
      </c>
      <c r="X40" s="35" t="n">
        <f aca="false">X33+X34+X35+X36+X37+X38+X39</f>
        <v>-35841.553755</v>
      </c>
      <c r="Y40" s="35" t="n">
        <f aca="false">Y33+Y34+Y35+Y36+Y37+Y38+Y39</f>
        <v>-35841.553755</v>
      </c>
      <c r="Z40" s="35" t="n">
        <f aca="false">Z33+Z34+Z35+Z36+Z37+Z38+Z39</f>
        <v>-35841.553755</v>
      </c>
      <c r="AA40" s="35" t="n">
        <f aca="false">AA33+AA34+AA35+AA36+AA37+AA38+AA39</f>
        <v>-39609.7986492975</v>
      </c>
      <c r="AB40" s="35" t="n">
        <f aca="false">AB33+AB34+AB35+AB36+AB37+AB38+AB39</f>
        <v>-39609.7986492975</v>
      </c>
      <c r="AC40" s="35" t="n">
        <f aca="false">AC33+AC34+AC35+AC36+AC37+AC38+AC39</f>
        <v>-39609.7986492975</v>
      </c>
      <c r="AD40" s="35" t="n">
        <f aca="false">AD33+AD34+AD35+AD36+AD37+AD38+AD39</f>
        <v>-39609.7986492975</v>
      </c>
      <c r="AE40" s="35" t="n">
        <f aca="false">AE33+AE34+AE35+AE36+AE37+AE38+AE39</f>
        <v>-39609.7986492975</v>
      </c>
      <c r="AF40" s="35" t="n">
        <f aca="false">AF33+AF34+AF35+AF36+AF37+AF38+AF39</f>
        <v>-40668.104945064</v>
      </c>
      <c r="AG40" s="35" t="n">
        <f aca="false">AG33+AG34+AG35+AG36+AG37+AG38+AG39</f>
        <v>-40668.104945064</v>
      </c>
      <c r="AH40" s="35" t="n">
        <f aca="false">AH33+AH34+AH35+AH36+AH37+AH38+AH39</f>
        <v>-40668.104945064</v>
      </c>
      <c r="AI40" s="35" t="n">
        <f aca="false">AI33+AI34+AI35+AI36+AI37+AI38+AI39</f>
        <v>-39609.7986492975</v>
      </c>
      <c r="AJ40" s="35" t="n">
        <f aca="false">AJ33+AJ34+AJ35+AJ36+AJ37+AJ38+AJ39</f>
        <v>-39609.7986492975</v>
      </c>
      <c r="AK40" s="35" t="n">
        <f aca="false">AK33+AK34+AK35+AK36+AK37+AK38+AK39</f>
        <v>-39609.7986492975</v>
      </c>
      <c r="AL40" s="35" t="n">
        <f aca="false">AL33+AL34+AL35+AL36+AL37+AL38+AL39</f>
        <v>-39609.7986492975</v>
      </c>
    </row>
    <row r="41" customFormat="false" ht="15" hidden="false" customHeight="false" outlineLevel="0" collapsed="false">
      <c r="A41" s="4" t="s">
        <v>9</v>
      </c>
      <c r="C41" s="35" t="n">
        <f aca="false">C30+C40</f>
        <v>15618.0433333333</v>
      </c>
      <c r="D41" s="35" t="n">
        <f aca="false">D30+D40</f>
        <v>15618.0433333333</v>
      </c>
      <c r="E41" s="35" t="n">
        <f aca="false">E30+E40</f>
        <v>15618.0433333333</v>
      </c>
      <c r="F41" s="35" t="n">
        <f aca="false">F30+F40</f>
        <v>15618.0433333333</v>
      </c>
      <c r="G41" s="35" t="n">
        <f aca="false">G30+G40</f>
        <v>15618.0433333333</v>
      </c>
      <c r="H41" s="35" t="n">
        <f aca="false">H30+H40</f>
        <v>41836.4333333333</v>
      </c>
      <c r="I41" s="35" t="n">
        <f aca="false">I30+I40</f>
        <v>41836.4333333333</v>
      </c>
      <c r="J41" s="35" t="n">
        <f aca="false">J30+J40</f>
        <v>41836.4333333333</v>
      </c>
      <c r="K41" s="35" t="n">
        <f aca="false">K30+K40</f>
        <v>15618.0433333333</v>
      </c>
      <c r="L41" s="35" t="n">
        <f aca="false">L30+L40</f>
        <v>15618.0433333333</v>
      </c>
      <c r="M41" s="35" t="n">
        <f aca="false">M30+M40</f>
        <v>15618.0433333333</v>
      </c>
      <c r="N41" s="35" t="n">
        <f aca="false">N30+N40</f>
        <v>15618.0433333333</v>
      </c>
      <c r="O41" s="35" t="n">
        <f aca="false">O30+O40</f>
        <v>23353.8983283333</v>
      </c>
      <c r="P41" s="35" t="n">
        <f aca="false">P30+P40</f>
        <v>23353.8983283333</v>
      </c>
      <c r="Q41" s="35" t="n">
        <f aca="false">Q30+Q40</f>
        <v>23353.8983283333</v>
      </c>
      <c r="R41" s="35" t="n">
        <f aca="false">R30+R40</f>
        <v>23353.8983283333</v>
      </c>
      <c r="S41" s="35" t="n">
        <f aca="false">S30+S40</f>
        <v>23353.8983283333</v>
      </c>
      <c r="T41" s="35" t="n">
        <f aca="false">T30+T40</f>
        <v>50797.0900933333</v>
      </c>
      <c r="U41" s="35" t="n">
        <f aca="false">U30+U40</f>
        <v>50797.0900933333</v>
      </c>
      <c r="V41" s="35" t="n">
        <f aca="false">V30+V40</f>
        <v>50797.0900933333</v>
      </c>
      <c r="W41" s="35" t="n">
        <f aca="false">W30+W40</f>
        <v>23353.8983283333</v>
      </c>
      <c r="X41" s="35" t="n">
        <f aca="false">X30+X40</f>
        <v>23353.8983283333</v>
      </c>
      <c r="Y41" s="35" t="n">
        <f aca="false">Y30+Y40</f>
        <v>23353.8983283333</v>
      </c>
      <c r="Z41" s="35" t="n">
        <f aca="false">Z30+Z40</f>
        <v>23353.8983283333</v>
      </c>
      <c r="AA41" s="35" t="n">
        <f aca="false">AA30+AA40</f>
        <v>32952.7240754108</v>
      </c>
      <c r="AB41" s="35" t="n">
        <f aca="false">AB30+AB40</f>
        <v>32952.7240754108</v>
      </c>
      <c r="AC41" s="35" t="n">
        <f aca="false">AC30+AC40</f>
        <v>32952.7240754108</v>
      </c>
      <c r="AD41" s="35" t="n">
        <f aca="false">AD30+AD40</f>
        <v>32952.7240754108</v>
      </c>
      <c r="AE41" s="35" t="n">
        <f aca="false">AE30+AE40</f>
        <v>32952.7240754108</v>
      </c>
      <c r="AF41" s="35" t="n">
        <f aca="false">AF30+AF40</f>
        <v>61291.8148842693</v>
      </c>
      <c r="AG41" s="35" t="n">
        <f aca="false">AG30+AG40</f>
        <v>61291.8148842693</v>
      </c>
      <c r="AH41" s="35" t="n">
        <f aca="false">AH30+AH40</f>
        <v>61291.8148842693</v>
      </c>
      <c r="AI41" s="35" t="n">
        <f aca="false">AI30+AI40</f>
        <v>32952.7240754108</v>
      </c>
      <c r="AJ41" s="35" t="n">
        <f aca="false">AJ30+AJ40</f>
        <v>32952.7240754108</v>
      </c>
      <c r="AK41" s="35" t="n">
        <f aca="false">AK30+AK40</f>
        <v>32952.7240754108</v>
      </c>
      <c r="AL41" s="35" t="n">
        <f aca="false">AL30+AL40</f>
        <v>32952.7240754108</v>
      </c>
    </row>
    <row r="43" customFormat="false" ht="15" hidden="false" customHeight="false" outlineLevel="0" collapsed="false">
      <c r="A43" s="7" t="s">
        <v>175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customFormat="false" ht="15" hidden="false" customHeight="false" outlineLevel="0" collapsed="false">
      <c r="A44" s="4" t="s">
        <v>176</v>
      </c>
      <c r="C44" s="15" t="n">
        <f aca="false">C41+C55</f>
        <v>15284.71</v>
      </c>
      <c r="D44" s="15" t="n">
        <f aca="false">D41+D55</f>
        <v>15284.71</v>
      </c>
      <c r="E44" s="15" t="n">
        <f aca="false">E41+E55</f>
        <v>15284.71</v>
      </c>
      <c r="F44" s="15" t="n">
        <f aca="false">F41+F55</f>
        <v>15284.71</v>
      </c>
      <c r="G44" s="15" t="n">
        <f aca="false">G41+G55</f>
        <v>15284.71</v>
      </c>
      <c r="H44" s="15" t="n">
        <f aca="false">H41+H55</f>
        <v>41503.1</v>
      </c>
      <c r="I44" s="15" t="n">
        <f aca="false">I41+I55</f>
        <v>41503.1</v>
      </c>
      <c r="J44" s="15" t="n">
        <f aca="false">J41+J55</f>
        <v>41503.1</v>
      </c>
      <c r="K44" s="15" t="n">
        <f aca="false">K41+K55</f>
        <v>15284.71</v>
      </c>
      <c r="L44" s="15" t="n">
        <f aca="false">L41+L55</f>
        <v>15284.71</v>
      </c>
      <c r="M44" s="15" t="n">
        <f aca="false">M41+M55</f>
        <v>15284.71</v>
      </c>
      <c r="N44" s="15" t="n">
        <f aca="false">N41+N55</f>
        <v>15284.71</v>
      </c>
      <c r="O44" s="15" t="n">
        <f aca="false">O41+O55</f>
        <v>22390.564995</v>
      </c>
      <c r="P44" s="15" t="n">
        <f aca="false">P41+P55</f>
        <v>22390.564995</v>
      </c>
      <c r="Q44" s="15" t="n">
        <f aca="false">Q41+Q55</f>
        <v>22390.564995</v>
      </c>
      <c r="R44" s="15" t="n">
        <f aca="false">R41+R55</f>
        <v>22390.564995</v>
      </c>
      <c r="S44" s="15" t="n">
        <f aca="false">S41+S55</f>
        <v>22390.564995</v>
      </c>
      <c r="T44" s="15" t="n">
        <f aca="false">T41+T55</f>
        <v>49833.75676</v>
      </c>
      <c r="U44" s="15" t="n">
        <f aca="false">U41+U55</f>
        <v>49833.75676</v>
      </c>
      <c r="V44" s="15" t="n">
        <f aca="false">V41+V55</f>
        <v>49833.75676</v>
      </c>
      <c r="W44" s="15" t="n">
        <f aca="false">W41+W55</f>
        <v>22390.564995</v>
      </c>
      <c r="X44" s="15" t="n">
        <f aca="false">X41+X55</f>
        <v>22390.564995</v>
      </c>
      <c r="Y44" s="15" t="n">
        <f aca="false">Y41+Y55</f>
        <v>22390.564995</v>
      </c>
      <c r="Z44" s="15" t="n">
        <f aca="false">Z41+Z55</f>
        <v>22390.564995</v>
      </c>
      <c r="AA44" s="15" t="n">
        <f aca="false">AA41+AA55</f>
        <v>31283.7907420775</v>
      </c>
      <c r="AB44" s="15" t="n">
        <f aca="false">AB41+AB55</f>
        <v>31283.7907420775</v>
      </c>
      <c r="AC44" s="15" t="n">
        <f aca="false">AC41+AC55</f>
        <v>31283.7907420775</v>
      </c>
      <c r="AD44" s="15" t="n">
        <f aca="false">AD41+AD55</f>
        <v>31283.7907420775</v>
      </c>
      <c r="AE44" s="15" t="n">
        <f aca="false">AE41+AE55</f>
        <v>31283.7907420775</v>
      </c>
      <c r="AF44" s="15" t="n">
        <f aca="false">AF41+AF55</f>
        <v>59622.881550936</v>
      </c>
      <c r="AG44" s="15" t="n">
        <f aca="false">AG41+AG55</f>
        <v>59622.881550936</v>
      </c>
      <c r="AH44" s="15" t="n">
        <f aca="false">AH41+AH55</f>
        <v>59622.881550936</v>
      </c>
      <c r="AI44" s="15" t="n">
        <f aca="false">AI41+AI55</f>
        <v>31283.7907420775</v>
      </c>
      <c r="AJ44" s="15" t="n">
        <f aca="false">AJ41+AJ55</f>
        <v>31283.7907420775</v>
      </c>
      <c r="AK44" s="15" t="n">
        <f aca="false">AK41+AK55</f>
        <v>31283.7907420775</v>
      </c>
      <c r="AL44" s="15" t="n">
        <f aca="false">AL41+AL55</f>
        <v>31283.7907420775</v>
      </c>
    </row>
    <row r="45" customFormat="false" ht="15" hidden="false" customHeight="false" outlineLevel="0" collapsed="false">
      <c r="A45" s="11" t="s">
        <v>177</v>
      </c>
      <c r="C45" s="22" t="n">
        <f aca="false">-(C60+C61+C63)/2*Inputs!$E$56/12</f>
        <v>-1666.66666666667</v>
      </c>
      <c r="D45" s="22" t="n">
        <f aca="false">-(D60+D61+D63)/2*Inputs!$E$56/12</f>
        <v>-1652.77777777778</v>
      </c>
      <c r="E45" s="22" t="n">
        <f aca="false">-(E60+E61+E63)/2*Inputs!$E$56/12</f>
        <v>-1625</v>
      </c>
      <c r="F45" s="22" t="n">
        <f aca="false">-(F60+F61+F63)/2*Inputs!$E$56/12</f>
        <v>-1597.22222222222</v>
      </c>
      <c r="G45" s="22" t="n">
        <f aca="false">-(G60+G61+G63)/2*Inputs!$E$56/12</f>
        <v>-1569.44444444444</v>
      </c>
      <c r="H45" s="22" t="n">
        <f aca="false">-(H60+H61+H63)/2*Inputs!$E$56/12</f>
        <v>-1541.66666666667</v>
      </c>
      <c r="I45" s="22" t="n">
        <f aca="false">-(I60+I61+I63)/2*Inputs!$E$56/12</f>
        <v>-1513.88888888889</v>
      </c>
      <c r="J45" s="22" t="n">
        <f aca="false">-(J60+J61+J63)/2*Inputs!$E$56/12</f>
        <v>-1486.11111111111</v>
      </c>
      <c r="K45" s="22" t="n">
        <f aca="false">-(K60+K61+K63)/2*Inputs!$E$56/12</f>
        <v>-1458.33333333333</v>
      </c>
      <c r="L45" s="22" t="n">
        <f aca="false">-(L60+L61+L63)/2*Inputs!$E$56/12</f>
        <v>-1430.55555555556</v>
      </c>
      <c r="M45" s="22" t="n">
        <f aca="false">-(M60+M61+M63)/2*Inputs!$E$56/12</f>
        <v>-1402.77777777778</v>
      </c>
      <c r="N45" s="22" t="n">
        <f aca="false">-(N60+N61+N63)/2*Inputs!$E$56/12</f>
        <v>-1375</v>
      </c>
      <c r="O45" s="22" t="n">
        <f aca="false">-(O60+O61+O63)/2*Inputs!$E$56/12</f>
        <v>-1347.22222222222</v>
      </c>
      <c r="P45" s="22" t="n">
        <f aca="false">-(P60+P61+P63)/2*Inputs!$E$56/12</f>
        <v>-1319.44444444445</v>
      </c>
      <c r="Q45" s="22" t="n">
        <f aca="false">-(Q60+Q61+Q63)/2*Inputs!$E$56/12</f>
        <v>-1291.66666666667</v>
      </c>
      <c r="R45" s="22" t="n">
        <f aca="false">-(R60+R61+R63)/2*Inputs!$E$56/12</f>
        <v>-1263.88888888889</v>
      </c>
      <c r="S45" s="22" t="n">
        <f aca="false">-(S60+S61+S63)/2*Inputs!$E$56/12</f>
        <v>-1236.11111111111</v>
      </c>
      <c r="T45" s="22" t="n">
        <f aca="false">-(T60+T61+T63)/2*Inputs!$E$56/12</f>
        <v>-1208.33333333333</v>
      </c>
      <c r="U45" s="22" t="n">
        <f aca="false">-(U60+U61+U63)/2*Inputs!$E$56/12</f>
        <v>-1180.55555555556</v>
      </c>
      <c r="V45" s="22" t="n">
        <f aca="false">-(V60+V61+V63)/2*Inputs!$E$56/12</f>
        <v>-1152.77777777778</v>
      </c>
      <c r="W45" s="22" t="n">
        <f aca="false">-(W60+W61+W63)/2*Inputs!$E$56/12</f>
        <v>-1125</v>
      </c>
      <c r="X45" s="22" t="n">
        <f aca="false">-(X60+X61+X63)/2*Inputs!$E$56/12</f>
        <v>-1097.22222222222</v>
      </c>
      <c r="Y45" s="22" t="n">
        <f aca="false">-(Y60+Y61+Y63)/2*Inputs!$E$56/12</f>
        <v>-1069.44444444445</v>
      </c>
      <c r="Z45" s="22" t="n">
        <f aca="false">-(Z60+Z61+Z63)/2*Inputs!$E$56/12</f>
        <v>-1041.66666666667</v>
      </c>
      <c r="AA45" s="22" t="n">
        <f aca="false">-(AA60+AA61+AA63)/2*Inputs!$E$56/12</f>
        <v>-1013.88888888889</v>
      </c>
      <c r="AB45" s="22" t="n">
        <f aca="false">-(AB60+AB61+AB63)/2*Inputs!$E$56/12</f>
        <v>-986.111111111113</v>
      </c>
      <c r="AC45" s="22" t="n">
        <f aca="false">-(AC60+AC61+AC63)/2*Inputs!$E$56/12</f>
        <v>-958.333333333335</v>
      </c>
      <c r="AD45" s="22" t="n">
        <f aca="false">-(AD60+AD61+AD63)/2*Inputs!$E$56/12</f>
        <v>-930.555555555557</v>
      </c>
      <c r="AE45" s="22" t="n">
        <f aca="false">-(AE60+AE61+AE63)/2*Inputs!$E$56/12</f>
        <v>-902.77777777778</v>
      </c>
      <c r="AF45" s="22" t="n">
        <f aca="false">-(AF60+AF61+AF63)/2*Inputs!$E$56/12</f>
        <v>-875.000000000002</v>
      </c>
      <c r="AG45" s="22" t="n">
        <f aca="false">-(AG60+AG61+AG63)/2*Inputs!$E$56/12</f>
        <v>-847.222222222224</v>
      </c>
      <c r="AH45" s="22" t="n">
        <f aca="false">-(AH60+AH61+AH63)/2*Inputs!$E$56/12</f>
        <v>-819.444444444446</v>
      </c>
      <c r="AI45" s="22" t="n">
        <f aca="false">-(AI60+AI61+AI63)/2*Inputs!$E$56/12</f>
        <v>-791.666666666668</v>
      </c>
      <c r="AJ45" s="22" t="n">
        <f aca="false">-(AJ60+AJ61+AJ63)/2*Inputs!$E$56/12</f>
        <v>-763.888888888891</v>
      </c>
      <c r="AK45" s="22" t="n">
        <f aca="false">-(AK60+AK61+AK63)/2*Inputs!$E$56/12</f>
        <v>-736.111111111113</v>
      </c>
      <c r="AL45" s="22" t="n">
        <f aca="false">-(AL60+AL61+AL63)/2*Inputs!$E$56/12</f>
        <v>-708.333333333335</v>
      </c>
    </row>
    <row r="46" customFormat="false" ht="15" hidden="false" customHeight="false" outlineLevel="0" collapsed="false">
      <c r="A46" s="4" t="s">
        <v>178</v>
      </c>
      <c r="C46" s="35" t="n">
        <f aca="false">C44+C45</f>
        <v>13618.0433333333</v>
      </c>
      <c r="D46" s="35" t="n">
        <f aca="false">D44+D45</f>
        <v>13631.9322222222</v>
      </c>
      <c r="E46" s="35" t="n">
        <f aca="false">E44+E45</f>
        <v>13659.71</v>
      </c>
      <c r="F46" s="35" t="n">
        <f aca="false">F44+F45</f>
        <v>13687.4877777778</v>
      </c>
      <c r="G46" s="35" t="n">
        <f aca="false">G44+G45</f>
        <v>13715.2655555555</v>
      </c>
      <c r="H46" s="35" t="n">
        <f aca="false">H44+H45</f>
        <v>39961.4333333333</v>
      </c>
      <c r="I46" s="35" t="n">
        <f aca="false">I44+I45</f>
        <v>39989.2111111111</v>
      </c>
      <c r="J46" s="35" t="n">
        <f aca="false">J44+J45</f>
        <v>40016.9888888889</v>
      </c>
      <c r="K46" s="35" t="n">
        <f aca="false">K44+K45</f>
        <v>13826.3766666667</v>
      </c>
      <c r="L46" s="35" t="n">
        <f aca="false">L44+L45</f>
        <v>13854.1544444444</v>
      </c>
      <c r="M46" s="35" t="n">
        <f aca="false">M44+M45</f>
        <v>13881.9322222222</v>
      </c>
      <c r="N46" s="35" t="n">
        <f aca="false">N44+N45</f>
        <v>13909.71</v>
      </c>
      <c r="O46" s="35" t="n">
        <f aca="false">O44+O45</f>
        <v>21043.3427727778</v>
      </c>
      <c r="P46" s="35" t="n">
        <f aca="false">P44+P45</f>
        <v>21071.1205505555</v>
      </c>
      <c r="Q46" s="35" t="n">
        <f aca="false">Q44+Q45</f>
        <v>21098.8983283333</v>
      </c>
      <c r="R46" s="35" t="n">
        <f aca="false">R44+R45</f>
        <v>21126.6761061111</v>
      </c>
      <c r="S46" s="35" t="n">
        <f aca="false">S44+S45</f>
        <v>21154.4538838889</v>
      </c>
      <c r="T46" s="35" t="n">
        <f aca="false">T44+T45</f>
        <v>48625.4234266667</v>
      </c>
      <c r="U46" s="35" t="n">
        <f aca="false">U44+U45</f>
        <v>48653.2012044444</v>
      </c>
      <c r="V46" s="35" t="n">
        <f aca="false">V44+V45</f>
        <v>48680.9789822222</v>
      </c>
      <c r="W46" s="35" t="n">
        <f aca="false">W44+W45</f>
        <v>21265.564995</v>
      </c>
      <c r="X46" s="35" t="n">
        <f aca="false">X44+X45</f>
        <v>21293.3427727778</v>
      </c>
      <c r="Y46" s="35" t="n">
        <f aca="false">Y44+Y45</f>
        <v>21321.1205505555</v>
      </c>
      <c r="Z46" s="35" t="n">
        <f aca="false">Z44+Z45</f>
        <v>21348.8983283333</v>
      </c>
      <c r="AA46" s="35" t="n">
        <f aca="false">AA44+AA45</f>
        <v>30269.9018531886</v>
      </c>
      <c r="AB46" s="35" t="n">
        <f aca="false">AB44+AB45</f>
        <v>30297.6796309664</v>
      </c>
      <c r="AC46" s="35" t="n">
        <f aca="false">AC44+AC45</f>
        <v>30325.4574087442</v>
      </c>
      <c r="AD46" s="35" t="n">
        <f aca="false">AD44+AD45</f>
        <v>30353.2351865219</v>
      </c>
      <c r="AE46" s="35" t="n">
        <f aca="false">AE44+AE45</f>
        <v>30381.0129642997</v>
      </c>
      <c r="AF46" s="35" t="n">
        <f aca="false">AF44+AF45</f>
        <v>58747.881550936</v>
      </c>
      <c r="AG46" s="35" t="n">
        <f aca="false">AG44+AG45</f>
        <v>58775.6593287138</v>
      </c>
      <c r="AH46" s="35" t="n">
        <f aca="false">AH44+AH45</f>
        <v>58803.4371064916</v>
      </c>
      <c r="AI46" s="35" t="n">
        <f aca="false">AI44+AI45</f>
        <v>30492.1240754108</v>
      </c>
      <c r="AJ46" s="35" t="n">
        <f aca="false">AJ44+AJ45</f>
        <v>30519.9018531886</v>
      </c>
      <c r="AK46" s="35" t="n">
        <f aca="false">AK44+AK45</f>
        <v>30547.6796309664</v>
      </c>
      <c r="AL46" s="35" t="n">
        <f aca="false">AL44+AL45</f>
        <v>30575.4574087442</v>
      </c>
    </row>
    <row r="47" customFormat="false" ht="15" hidden="false" customHeight="false" outlineLevel="0" collapsed="false">
      <c r="A47" s="17" t="s">
        <v>179</v>
      </c>
      <c r="C47" s="22" t="n">
        <f aca="false">C46</f>
        <v>13618.0433333333</v>
      </c>
      <c r="D47" s="22" t="n">
        <f aca="false">C47+D46</f>
        <v>27249.9755555555</v>
      </c>
      <c r="E47" s="22" t="n">
        <f aca="false">D47+E46</f>
        <v>40909.6855555555</v>
      </c>
      <c r="F47" s="22" t="n">
        <f aca="false">E47+F46</f>
        <v>54597.1733333333</v>
      </c>
      <c r="G47" s="22" t="n">
        <f aca="false">F47+G46</f>
        <v>68312.4388888889</v>
      </c>
      <c r="H47" s="22" t="n">
        <f aca="false">G47+H46</f>
        <v>108273.872222222</v>
      </c>
      <c r="I47" s="22" t="n">
        <f aca="false">H47+I46</f>
        <v>148263.083333333</v>
      </c>
      <c r="J47" s="22" t="n">
        <f aca="false">I47+J46</f>
        <v>188280.072222222</v>
      </c>
      <c r="K47" s="22" t="n">
        <f aca="false">J47+K46</f>
        <v>202106.448888889</v>
      </c>
      <c r="L47" s="22" t="n">
        <f aca="false">K47+L46</f>
        <v>215960.603333333</v>
      </c>
      <c r="M47" s="22" t="n">
        <f aca="false">L47+M46</f>
        <v>229842.535555556</v>
      </c>
      <c r="N47" s="22" t="n">
        <f aca="false">M47+N46</f>
        <v>243752.245555556</v>
      </c>
      <c r="O47" s="22" t="n">
        <f aca="false">N47+O46</f>
        <v>264795.588328333</v>
      </c>
      <c r="P47" s="22" t="n">
        <f aca="false">O47+P46</f>
        <v>285866.708878889</v>
      </c>
      <c r="Q47" s="22" t="n">
        <f aca="false">P47+Q46</f>
        <v>306965.607207222</v>
      </c>
      <c r="R47" s="22" t="n">
        <f aca="false">Q47+R46</f>
        <v>328092.283313333</v>
      </c>
      <c r="S47" s="22" t="n">
        <f aca="false">R47+S46</f>
        <v>349246.737197222</v>
      </c>
      <c r="T47" s="22" t="n">
        <f aca="false">S47+T46</f>
        <v>397872.160623889</v>
      </c>
      <c r="U47" s="22" t="n">
        <f aca="false">T47+U46</f>
        <v>446525.361828333</v>
      </c>
      <c r="V47" s="22" t="n">
        <f aca="false">U47+V46</f>
        <v>495206.340810555</v>
      </c>
      <c r="W47" s="22" t="n">
        <f aca="false">V47+W46</f>
        <v>516471.905805555</v>
      </c>
      <c r="X47" s="22" t="n">
        <f aca="false">W47+X46</f>
        <v>537765.248578333</v>
      </c>
      <c r="Y47" s="22" t="n">
        <f aca="false">X47+Y46</f>
        <v>559086.369128889</v>
      </c>
      <c r="Z47" s="22" t="n">
        <f aca="false">Y47+Z46</f>
        <v>580435.267457222</v>
      </c>
      <c r="AA47" s="22" t="n">
        <f aca="false">Z47+AA46</f>
        <v>610705.169310411</v>
      </c>
      <c r="AB47" s="22" t="n">
        <f aca="false">AA47+AB46</f>
        <v>641002.848941377</v>
      </c>
      <c r="AC47" s="22" t="n">
        <f aca="false">AB47+AC46</f>
        <v>671328.306350121</v>
      </c>
      <c r="AD47" s="22" t="n">
        <f aca="false">AC47+AD46</f>
        <v>701681.541536643</v>
      </c>
      <c r="AE47" s="22" t="n">
        <f aca="false">AD47+AE46</f>
        <v>732062.554500943</v>
      </c>
      <c r="AF47" s="22" t="n">
        <f aca="false">AE47+AF46</f>
        <v>790810.436051879</v>
      </c>
      <c r="AG47" s="22" t="n">
        <f aca="false">AF47+AG46</f>
        <v>849586.095380593</v>
      </c>
      <c r="AH47" s="22" t="n">
        <f aca="false">AG47+AH46</f>
        <v>908389.532487084</v>
      </c>
      <c r="AI47" s="22" t="n">
        <f aca="false">AH47+AI46</f>
        <v>938881.656562495</v>
      </c>
      <c r="AJ47" s="22" t="n">
        <f aca="false">AI47+AJ46</f>
        <v>969401.558415684</v>
      </c>
      <c r="AK47" s="22" t="n">
        <f aca="false">AJ47+AK46</f>
        <v>999949.23804665</v>
      </c>
      <c r="AL47" s="22" t="n">
        <f aca="false">AK47+AL46</f>
        <v>1030524.69545539</v>
      </c>
    </row>
    <row r="48" customFormat="false" ht="15" hidden="false" customHeight="false" outlineLevel="0" collapsed="false">
      <c r="A48" s="17" t="s">
        <v>180</v>
      </c>
      <c r="C48" s="22" t="n">
        <f aca="false">MAX(0,C47)</f>
        <v>13618.0433333333</v>
      </c>
      <c r="D48" s="22" t="n">
        <f aca="false">MAX(C48,D47)</f>
        <v>27249.9755555555</v>
      </c>
      <c r="E48" s="22" t="n">
        <f aca="false">MAX(D48,E47)</f>
        <v>40909.6855555555</v>
      </c>
      <c r="F48" s="22" t="n">
        <f aca="false">MAX(E48,F47)</f>
        <v>54597.1733333333</v>
      </c>
      <c r="G48" s="22" t="n">
        <f aca="false">MAX(F48,G47)</f>
        <v>68312.4388888889</v>
      </c>
      <c r="H48" s="22" t="n">
        <f aca="false">MAX(G48,H47)</f>
        <v>108273.872222222</v>
      </c>
      <c r="I48" s="22" t="n">
        <f aca="false">MAX(H48,I47)</f>
        <v>148263.083333333</v>
      </c>
      <c r="J48" s="22" t="n">
        <f aca="false">MAX(I48,J47)</f>
        <v>188280.072222222</v>
      </c>
      <c r="K48" s="22" t="n">
        <f aca="false">MAX(J48,K47)</f>
        <v>202106.448888889</v>
      </c>
      <c r="L48" s="22" t="n">
        <f aca="false">MAX(K48,L47)</f>
        <v>215960.603333333</v>
      </c>
      <c r="M48" s="22" t="n">
        <f aca="false">MAX(L48,M47)</f>
        <v>229842.535555556</v>
      </c>
      <c r="N48" s="22" t="n">
        <f aca="false">MAX(M48,N47)</f>
        <v>243752.245555556</v>
      </c>
      <c r="O48" s="22" t="n">
        <f aca="false">MAX(N48,O47)</f>
        <v>264795.588328333</v>
      </c>
      <c r="P48" s="22" t="n">
        <f aca="false">MAX(O48,P47)</f>
        <v>285866.708878889</v>
      </c>
      <c r="Q48" s="22" t="n">
        <f aca="false">MAX(P48,Q47)</f>
        <v>306965.607207222</v>
      </c>
      <c r="R48" s="22" t="n">
        <f aca="false">MAX(Q48,R47)</f>
        <v>328092.283313333</v>
      </c>
      <c r="S48" s="22" t="n">
        <f aca="false">MAX(R48,S47)</f>
        <v>349246.737197222</v>
      </c>
      <c r="T48" s="22" t="n">
        <f aca="false">MAX(S48,T47)</f>
        <v>397872.160623889</v>
      </c>
      <c r="U48" s="22" t="n">
        <f aca="false">MAX(T48,U47)</f>
        <v>446525.361828333</v>
      </c>
      <c r="V48" s="22" t="n">
        <f aca="false">MAX(U48,V47)</f>
        <v>495206.340810555</v>
      </c>
      <c r="W48" s="22" t="n">
        <f aca="false">MAX(V48,W47)</f>
        <v>516471.905805555</v>
      </c>
      <c r="X48" s="22" t="n">
        <f aca="false">MAX(W48,X47)</f>
        <v>537765.248578333</v>
      </c>
      <c r="Y48" s="22" t="n">
        <f aca="false">MAX(X48,Y47)</f>
        <v>559086.369128889</v>
      </c>
      <c r="Z48" s="22" t="n">
        <f aca="false">MAX(Y48,Z47)</f>
        <v>580435.267457222</v>
      </c>
      <c r="AA48" s="22" t="n">
        <f aca="false">MAX(Z48,AA47)</f>
        <v>610705.169310411</v>
      </c>
      <c r="AB48" s="22" t="n">
        <f aca="false">MAX(AA48,AB47)</f>
        <v>641002.848941377</v>
      </c>
      <c r="AC48" s="22" t="n">
        <f aca="false">MAX(AB48,AC47)</f>
        <v>671328.306350121</v>
      </c>
      <c r="AD48" s="22" t="n">
        <f aca="false">MAX(AC48,AD47)</f>
        <v>701681.541536643</v>
      </c>
      <c r="AE48" s="22" t="n">
        <f aca="false">MAX(AD48,AE47)</f>
        <v>732062.554500943</v>
      </c>
      <c r="AF48" s="22" t="n">
        <f aca="false">MAX(AE48,AF47)</f>
        <v>790810.436051879</v>
      </c>
      <c r="AG48" s="22" t="n">
        <f aca="false">MAX(AF48,AG47)</f>
        <v>849586.095380593</v>
      </c>
      <c r="AH48" s="22" t="n">
        <f aca="false">MAX(AG48,AH47)</f>
        <v>908389.532487084</v>
      </c>
      <c r="AI48" s="22" t="n">
        <f aca="false">MAX(AH48,AI47)</f>
        <v>938881.656562495</v>
      </c>
      <c r="AJ48" s="22" t="n">
        <f aca="false">MAX(AI48,AJ47)</f>
        <v>969401.558415684</v>
      </c>
      <c r="AK48" s="22" t="n">
        <f aca="false">MAX(AJ48,AK47)</f>
        <v>999949.23804665</v>
      </c>
      <c r="AL48" s="22" t="n">
        <f aca="false">MAX(AK48,AL47)</f>
        <v>1030524.69545539</v>
      </c>
    </row>
    <row r="49" customFormat="false" ht="15" hidden="false" customHeight="false" outlineLevel="0" collapsed="false">
      <c r="A49" s="11" t="s">
        <v>181</v>
      </c>
      <c r="C49" s="22" t="n">
        <f aca="false">-C48*Inputs!$E$66</f>
        <v>-2859.7891</v>
      </c>
      <c r="D49" s="22" t="n">
        <f aca="false">-(D48-C48)*Inputs!$E$66</f>
        <v>-2862.70576666667</v>
      </c>
      <c r="E49" s="22" t="n">
        <f aca="false">-(E48-D48)*Inputs!$E$66</f>
        <v>-2868.5391</v>
      </c>
      <c r="F49" s="22" t="n">
        <f aca="false">-(F48-E48)*Inputs!$E$66</f>
        <v>-2874.37243333333</v>
      </c>
      <c r="G49" s="22" t="n">
        <f aca="false">-(G48-F48)*Inputs!$E$66</f>
        <v>-2880.20576666667</v>
      </c>
      <c r="H49" s="22" t="n">
        <f aca="false">-(H48-G48)*Inputs!$E$66</f>
        <v>-8391.901</v>
      </c>
      <c r="I49" s="22" t="n">
        <f aca="false">-(I48-H48)*Inputs!$E$66</f>
        <v>-8397.73433333333</v>
      </c>
      <c r="J49" s="22" t="n">
        <f aca="false">-(J48-I48)*Inputs!$E$66</f>
        <v>-8403.56766666667</v>
      </c>
      <c r="K49" s="22" t="n">
        <f aca="false">-(K48-J48)*Inputs!$E$66</f>
        <v>-2903.5391</v>
      </c>
      <c r="L49" s="22" t="n">
        <f aca="false">-(L48-K48)*Inputs!$E$66</f>
        <v>-2909.37243333333</v>
      </c>
      <c r="M49" s="22" t="n">
        <f aca="false">-(M48-L48)*Inputs!$E$66</f>
        <v>-2915.20576666666</v>
      </c>
      <c r="N49" s="22" t="n">
        <f aca="false">-(N48-M48)*Inputs!$E$66</f>
        <v>-2921.0391</v>
      </c>
      <c r="O49" s="22" t="n">
        <f aca="false">-(O48-N48)*Inputs!$E$66</f>
        <v>-4419.10198228333</v>
      </c>
      <c r="P49" s="22" t="n">
        <f aca="false">-(P48-O48)*Inputs!$E$66</f>
        <v>-4424.93531561666</v>
      </c>
      <c r="Q49" s="22" t="n">
        <f aca="false">-(Q48-P48)*Inputs!$E$66</f>
        <v>-4430.76864895</v>
      </c>
      <c r="R49" s="22" t="n">
        <f aca="false">-(R48-Q48)*Inputs!$E$66</f>
        <v>-4436.60198228333</v>
      </c>
      <c r="S49" s="22" t="n">
        <f aca="false">-(S48-R48)*Inputs!$E$66</f>
        <v>-4442.43531561667</v>
      </c>
      <c r="T49" s="22" t="n">
        <f aca="false">-(T48-S48)*Inputs!$E$66</f>
        <v>-10211.3389196</v>
      </c>
      <c r="U49" s="22" t="n">
        <f aca="false">-(U48-T48)*Inputs!$E$66</f>
        <v>-10217.1722529333</v>
      </c>
      <c r="V49" s="22" t="n">
        <f aca="false">-(V48-U48)*Inputs!$E$66</f>
        <v>-10223.0055862667</v>
      </c>
      <c r="W49" s="22" t="n">
        <f aca="false">-(W48-V48)*Inputs!$E$66</f>
        <v>-4465.76864894999</v>
      </c>
      <c r="X49" s="22" t="n">
        <f aca="false">-(X48-W48)*Inputs!$E$66</f>
        <v>-4471.60198228333</v>
      </c>
      <c r="Y49" s="22" t="n">
        <f aca="false">-(Y48-X48)*Inputs!$E$66</f>
        <v>-4477.43531561666</v>
      </c>
      <c r="Z49" s="22" t="n">
        <f aca="false">-(Z48-Y48)*Inputs!$E$66</f>
        <v>-4483.26864894999</v>
      </c>
      <c r="AA49" s="22" t="n">
        <f aca="false">-(AA48-Z48)*Inputs!$E$66</f>
        <v>-6356.67938916961</v>
      </c>
      <c r="AB49" s="22" t="n">
        <f aca="false">-(AB48-AA48)*Inputs!$E$66</f>
        <v>-6362.51272250294</v>
      </c>
      <c r="AC49" s="22" t="n">
        <f aca="false">-(AC48-AB48)*Inputs!$E$66</f>
        <v>-6368.34605583627</v>
      </c>
      <c r="AD49" s="22" t="n">
        <f aca="false">-(AD48-AC48)*Inputs!$E$66</f>
        <v>-6374.1793891696</v>
      </c>
      <c r="AE49" s="22" t="n">
        <f aca="false">-(AE48-AD48)*Inputs!$E$66</f>
        <v>-6380.01272250295</v>
      </c>
      <c r="AF49" s="22" t="n">
        <f aca="false">-(AF48-AE48)*Inputs!$E$66</f>
        <v>-12337.0551256966</v>
      </c>
      <c r="AG49" s="22" t="n">
        <f aca="false">-(AG48-AF48)*Inputs!$E$66</f>
        <v>-12342.8884590299</v>
      </c>
      <c r="AH49" s="22" t="n">
        <f aca="false">-(AH48-AG48)*Inputs!$E$66</f>
        <v>-12348.7217923632</v>
      </c>
      <c r="AI49" s="22" t="n">
        <f aca="false">-(AI48-AH48)*Inputs!$E$66</f>
        <v>-6403.34605583626</v>
      </c>
      <c r="AJ49" s="22" t="n">
        <f aca="false">-(AJ48-AI48)*Inputs!$E$66</f>
        <v>-6409.17938916961</v>
      </c>
      <c r="AK49" s="22" t="n">
        <f aca="false">-(AK48-AJ48)*Inputs!$E$66</f>
        <v>-6415.01272250294</v>
      </c>
      <c r="AL49" s="22" t="n">
        <f aca="false">-(AL48-AK48)*Inputs!$E$66</f>
        <v>-6420.84605583627</v>
      </c>
    </row>
    <row r="50" customFormat="false" ht="15" hidden="false" customHeight="false" outlineLevel="0" collapsed="false">
      <c r="A50" s="4" t="s">
        <v>11</v>
      </c>
      <c r="C50" s="35" t="n">
        <f aca="false">C46+C49</f>
        <v>10758.2542333333</v>
      </c>
      <c r="D50" s="35" t="n">
        <f aca="false">D46+D49</f>
        <v>10769.2264555556</v>
      </c>
      <c r="E50" s="35" t="n">
        <f aca="false">E46+E49</f>
        <v>10791.1709</v>
      </c>
      <c r="F50" s="35" t="n">
        <f aca="false">F46+F49</f>
        <v>10813.1153444444</v>
      </c>
      <c r="G50" s="35" t="n">
        <f aca="false">G46+G49</f>
        <v>10835.0597888889</v>
      </c>
      <c r="H50" s="35" t="n">
        <f aca="false">H46+H49</f>
        <v>31569.5323333333</v>
      </c>
      <c r="I50" s="35" t="n">
        <f aca="false">I46+I49</f>
        <v>31591.4767777778</v>
      </c>
      <c r="J50" s="35" t="n">
        <f aca="false">J46+J49</f>
        <v>31613.4212222222</v>
      </c>
      <c r="K50" s="35" t="n">
        <f aca="false">K46+K49</f>
        <v>10922.8375666667</v>
      </c>
      <c r="L50" s="35" t="n">
        <f aca="false">L46+L49</f>
        <v>10944.7820111111</v>
      </c>
      <c r="M50" s="35" t="n">
        <f aca="false">M46+M49</f>
        <v>10966.7264555556</v>
      </c>
      <c r="N50" s="35" t="n">
        <f aca="false">N46+N49</f>
        <v>10988.6709</v>
      </c>
      <c r="O50" s="35" t="n">
        <f aca="false">O46+O49</f>
        <v>16624.2407904944</v>
      </c>
      <c r="P50" s="35" t="n">
        <f aca="false">P46+P49</f>
        <v>16646.1852349389</v>
      </c>
      <c r="Q50" s="35" t="n">
        <f aca="false">Q46+Q49</f>
        <v>16668.1296793833</v>
      </c>
      <c r="R50" s="35" t="n">
        <f aca="false">R46+R49</f>
        <v>16690.0741238278</v>
      </c>
      <c r="S50" s="35" t="n">
        <f aca="false">S46+S49</f>
        <v>16712.0185682722</v>
      </c>
      <c r="T50" s="35" t="n">
        <f aca="false">T46+T49</f>
        <v>38414.0845070667</v>
      </c>
      <c r="U50" s="35" t="n">
        <f aca="false">U46+U49</f>
        <v>38436.0289515111</v>
      </c>
      <c r="V50" s="35" t="n">
        <f aca="false">V46+V49</f>
        <v>38457.9733959556</v>
      </c>
      <c r="W50" s="35" t="n">
        <f aca="false">W46+W49</f>
        <v>16799.79634605</v>
      </c>
      <c r="X50" s="35" t="n">
        <f aca="false">X46+X49</f>
        <v>16821.7407904944</v>
      </c>
      <c r="Y50" s="35" t="n">
        <f aca="false">Y46+Y49</f>
        <v>16843.6852349389</v>
      </c>
      <c r="Z50" s="35" t="n">
        <f aca="false">Z46+Z49</f>
        <v>16865.6296793833</v>
      </c>
      <c r="AA50" s="35" t="n">
        <f aca="false">AA46+AA49</f>
        <v>23913.222464019</v>
      </c>
      <c r="AB50" s="35" t="n">
        <f aca="false">AB46+AB49</f>
        <v>23935.1669084634</v>
      </c>
      <c r="AC50" s="35" t="n">
        <f aca="false">AC46+AC49</f>
        <v>23957.1113529079</v>
      </c>
      <c r="AD50" s="35" t="n">
        <f aca="false">AD46+AD49</f>
        <v>23979.0557973523</v>
      </c>
      <c r="AE50" s="35" t="n">
        <f aca="false">AE46+AE49</f>
        <v>24001.0002417968</v>
      </c>
      <c r="AF50" s="35" t="n">
        <f aca="false">AF46+AF49</f>
        <v>46410.8264252394</v>
      </c>
      <c r="AG50" s="35" t="n">
        <f aca="false">AG46+AG49</f>
        <v>46432.7708696839</v>
      </c>
      <c r="AH50" s="35" t="n">
        <f aca="false">AH46+AH49</f>
        <v>46454.7153141283</v>
      </c>
      <c r="AI50" s="35" t="n">
        <f aca="false">AI46+AI49</f>
        <v>24088.7780195746</v>
      </c>
      <c r="AJ50" s="35" t="n">
        <f aca="false">AJ46+AJ49</f>
        <v>24110.722464019</v>
      </c>
      <c r="AK50" s="35" t="n">
        <f aca="false">AK46+AK49</f>
        <v>24132.6669084634</v>
      </c>
      <c r="AL50" s="35" t="n">
        <f aca="false">AL46+AL49</f>
        <v>24154.6113529079</v>
      </c>
    </row>
    <row r="52" customFormat="false" ht="15" hidden="false" customHeight="false" outlineLevel="0" collapsed="false">
      <c r="A52" s="7" t="s">
        <v>182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customFormat="false" ht="15" hidden="false" customHeight="false" outlineLevel="0" collapsed="false">
      <c r="A53" s="11" t="s">
        <v>183</v>
      </c>
      <c r="C53" s="22" t="n">
        <f aca="false">Inputs!$E$37+MAX(0,C8-Inputs!$E$39)*Inputs!$E$38</f>
        <v>20000</v>
      </c>
      <c r="D53" s="22" t="n">
        <f aca="false">MAX(0,D8-C8)*Inputs!$E$38</f>
        <v>0</v>
      </c>
      <c r="E53" s="22" t="n">
        <f aca="false">MAX(0,E8-D8)*Inputs!$E$38</f>
        <v>0</v>
      </c>
      <c r="F53" s="22" t="n">
        <f aca="false">MAX(0,F8-E8)*Inputs!$E$38</f>
        <v>0</v>
      </c>
      <c r="G53" s="22" t="n">
        <f aca="false">MAX(0,G8-F8)*Inputs!$E$38</f>
        <v>0</v>
      </c>
      <c r="H53" s="22" t="n">
        <f aca="false">MAX(0,H8-G8)*Inputs!$E$38</f>
        <v>0</v>
      </c>
      <c r="I53" s="22" t="n">
        <f aca="false">MAX(0,I8-H8)*Inputs!$E$38</f>
        <v>0</v>
      </c>
      <c r="J53" s="22" t="n">
        <f aca="false">MAX(0,J8-I8)*Inputs!$E$38</f>
        <v>0</v>
      </c>
      <c r="K53" s="22" t="n">
        <f aca="false">MAX(0,K8-J8)*Inputs!$E$38</f>
        <v>0</v>
      </c>
      <c r="L53" s="22" t="n">
        <f aca="false">MAX(0,L8-K8)*Inputs!$E$38</f>
        <v>0</v>
      </c>
      <c r="M53" s="22" t="n">
        <f aca="false">MAX(0,M8-L8)*Inputs!$E$38</f>
        <v>0</v>
      </c>
      <c r="N53" s="22" t="n">
        <f aca="false">MAX(0,N8-M8)*Inputs!$E$38</f>
        <v>0</v>
      </c>
      <c r="O53" s="22" t="n">
        <f aca="false">MAX(0,O8-N8)*Inputs!$E$38</f>
        <v>37800</v>
      </c>
      <c r="P53" s="22" t="n">
        <f aca="false">MAX(0,P8-O8)*Inputs!$E$38</f>
        <v>0</v>
      </c>
      <c r="Q53" s="22" t="n">
        <f aca="false">MAX(0,Q8-P8)*Inputs!$E$38</f>
        <v>0</v>
      </c>
      <c r="R53" s="22" t="n">
        <f aca="false">MAX(0,R8-Q8)*Inputs!$E$38</f>
        <v>0</v>
      </c>
      <c r="S53" s="22" t="n">
        <f aca="false">MAX(0,S8-R8)*Inputs!$E$38</f>
        <v>0</v>
      </c>
      <c r="T53" s="22" t="n">
        <f aca="false">MAX(0,T8-S8)*Inputs!$E$38</f>
        <v>0</v>
      </c>
      <c r="U53" s="22" t="n">
        <f aca="false">MAX(0,U8-T8)*Inputs!$E$38</f>
        <v>0</v>
      </c>
      <c r="V53" s="22" t="n">
        <f aca="false">MAX(0,V8-U8)*Inputs!$E$38</f>
        <v>0</v>
      </c>
      <c r="W53" s="22" t="n">
        <f aca="false">MAX(0,W8-V8)*Inputs!$E$38</f>
        <v>0</v>
      </c>
      <c r="X53" s="22" t="n">
        <f aca="false">MAX(0,X8-W8)*Inputs!$E$38</f>
        <v>0</v>
      </c>
      <c r="Y53" s="22" t="n">
        <f aca="false">MAX(0,Y8-X8)*Inputs!$E$38</f>
        <v>0</v>
      </c>
      <c r="Z53" s="22" t="n">
        <f aca="false">MAX(0,Z8-Y8)*Inputs!$E$38</f>
        <v>0</v>
      </c>
      <c r="AA53" s="22" t="n">
        <f aca="false">MAX(0,AA8-Z8)*Inputs!$E$38</f>
        <v>42336</v>
      </c>
      <c r="AB53" s="22" t="n">
        <f aca="false">MAX(0,AB8-AA8)*Inputs!$E$38</f>
        <v>0</v>
      </c>
      <c r="AC53" s="22" t="n">
        <f aca="false">MAX(0,AC8-AB8)*Inputs!$E$38</f>
        <v>0</v>
      </c>
      <c r="AD53" s="22" t="n">
        <f aca="false">MAX(0,AD8-AC8)*Inputs!$E$38</f>
        <v>0</v>
      </c>
      <c r="AE53" s="22" t="n">
        <f aca="false">MAX(0,AE8-AD8)*Inputs!$E$38</f>
        <v>0</v>
      </c>
      <c r="AF53" s="22" t="n">
        <f aca="false">MAX(0,AF8-AE8)*Inputs!$E$38</f>
        <v>0</v>
      </c>
      <c r="AG53" s="22" t="n">
        <f aca="false">MAX(0,AG8-AF8)*Inputs!$E$38</f>
        <v>0</v>
      </c>
      <c r="AH53" s="22" t="n">
        <f aca="false">MAX(0,AH8-AG8)*Inputs!$E$38</f>
        <v>0</v>
      </c>
      <c r="AI53" s="22" t="n">
        <f aca="false">MAX(0,AI8-AH8)*Inputs!$E$38</f>
        <v>0</v>
      </c>
      <c r="AJ53" s="22" t="n">
        <f aca="false">MAX(0,AJ8-AI8)*Inputs!$E$38</f>
        <v>0</v>
      </c>
      <c r="AK53" s="22" t="n">
        <f aca="false">MAX(0,AK8-AJ8)*Inputs!$E$38</f>
        <v>0</v>
      </c>
      <c r="AL53" s="22" t="n">
        <f aca="false">MAX(0,AL8-AK8)*Inputs!$E$38</f>
        <v>0</v>
      </c>
    </row>
    <row r="54" customFormat="false" ht="15" hidden="false" customHeight="false" outlineLevel="0" collapsed="false">
      <c r="A54" s="11" t="s">
        <v>184</v>
      </c>
      <c r="C54" s="22" t="n">
        <f aca="false">C53</f>
        <v>20000</v>
      </c>
      <c r="D54" s="22" t="n">
        <f aca="false">C54+D53</f>
        <v>20000</v>
      </c>
      <c r="E54" s="22" t="n">
        <f aca="false">D54+E53</f>
        <v>20000</v>
      </c>
      <c r="F54" s="22" t="n">
        <f aca="false">E54+F53</f>
        <v>20000</v>
      </c>
      <c r="G54" s="22" t="n">
        <f aca="false">F54+G53</f>
        <v>20000</v>
      </c>
      <c r="H54" s="22" t="n">
        <f aca="false">G54+H53</f>
        <v>20000</v>
      </c>
      <c r="I54" s="22" t="n">
        <f aca="false">H54+I53</f>
        <v>20000</v>
      </c>
      <c r="J54" s="22" t="n">
        <f aca="false">I54+J53</f>
        <v>20000</v>
      </c>
      <c r="K54" s="22" t="n">
        <f aca="false">J54+K53</f>
        <v>20000</v>
      </c>
      <c r="L54" s="22" t="n">
        <f aca="false">K54+L53</f>
        <v>20000</v>
      </c>
      <c r="M54" s="22" t="n">
        <f aca="false">L54+M53</f>
        <v>20000</v>
      </c>
      <c r="N54" s="22" t="n">
        <f aca="false">M54+N53</f>
        <v>20000</v>
      </c>
      <c r="O54" s="22" t="n">
        <f aca="false">N54+O53</f>
        <v>57800</v>
      </c>
      <c r="P54" s="22" t="n">
        <f aca="false">O54+P53</f>
        <v>57800</v>
      </c>
      <c r="Q54" s="22" t="n">
        <f aca="false">P54+Q53</f>
        <v>57800</v>
      </c>
      <c r="R54" s="22" t="n">
        <f aca="false">Q54+R53</f>
        <v>57800</v>
      </c>
      <c r="S54" s="22" t="n">
        <f aca="false">R54+S53</f>
        <v>57800</v>
      </c>
      <c r="T54" s="22" t="n">
        <f aca="false">S54+T53</f>
        <v>57800</v>
      </c>
      <c r="U54" s="22" t="n">
        <f aca="false">T54+U53</f>
        <v>57800</v>
      </c>
      <c r="V54" s="22" t="n">
        <f aca="false">U54+V53</f>
        <v>57800</v>
      </c>
      <c r="W54" s="22" t="n">
        <f aca="false">V54+W53</f>
        <v>57800</v>
      </c>
      <c r="X54" s="22" t="n">
        <f aca="false">W54+X53</f>
        <v>57800</v>
      </c>
      <c r="Y54" s="22" t="n">
        <f aca="false">X54+Y53</f>
        <v>57800</v>
      </c>
      <c r="Z54" s="22" t="n">
        <f aca="false">Y54+Z53</f>
        <v>57800</v>
      </c>
      <c r="AA54" s="22" t="n">
        <f aca="false">Z54+AA53</f>
        <v>100136</v>
      </c>
      <c r="AB54" s="22" t="n">
        <f aca="false">AA54+AB53</f>
        <v>100136</v>
      </c>
      <c r="AC54" s="22" t="n">
        <f aca="false">AB54+AC53</f>
        <v>100136</v>
      </c>
      <c r="AD54" s="22" t="n">
        <f aca="false">AC54+AD53</f>
        <v>100136</v>
      </c>
      <c r="AE54" s="22" t="n">
        <f aca="false">AD54+AE53</f>
        <v>100136</v>
      </c>
      <c r="AF54" s="22" t="n">
        <f aca="false">AE54+AF53</f>
        <v>100136</v>
      </c>
      <c r="AG54" s="22" t="n">
        <f aca="false">AF54+AG53</f>
        <v>100136</v>
      </c>
      <c r="AH54" s="22" t="n">
        <f aca="false">AG54+AH53</f>
        <v>100136</v>
      </c>
      <c r="AI54" s="22" t="n">
        <f aca="false">AH54+AI53</f>
        <v>100136</v>
      </c>
      <c r="AJ54" s="22" t="n">
        <f aca="false">AI54+AJ53</f>
        <v>100136</v>
      </c>
      <c r="AK54" s="22" t="n">
        <f aca="false">AJ54+AK53</f>
        <v>100136</v>
      </c>
      <c r="AL54" s="22" t="n">
        <f aca="false">AK54+AL53</f>
        <v>100136</v>
      </c>
    </row>
    <row r="55" customFormat="false" ht="15" hidden="false" customHeight="false" outlineLevel="0" collapsed="false">
      <c r="A55" s="11" t="s">
        <v>185</v>
      </c>
      <c r="C55" s="22" t="n">
        <f aca="false">-MIN(C54/MAX(1,Inputs!$E$65*12),C53)</f>
        <v>-333.333333333333</v>
      </c>
      <c r="D55" s="22" t="n">
        <f aca="false">-MIN(D54/MAX(1,Inputs!$E$65*12),C57+D53)</f>
        <v>-333.333333333333</v>
      </c>
      <c r="E55" s="22" t="n">
        <f aca="false">-MIN(E54/MAX(1,Inputs!$E$65*12),D57+E53)</f>
        <v>-333.333333333333</v>
      </c>
      <c r="F55" s="22" t="n">
        <f aca="false">-MIN(F54/MAX(1,Inputs!$E$65*12),E57+F53)</f>
        <v>-333.333333333333</v>
      </c>
      <c r="G55" s="22" t="n">
        <f aca="false">-MIN(G54/MAX(1,Inputs!$E$65*12),F57+G53)</f>
        <v>-333.333333333333</v>
      </c>
      <c r="H55" s="22" t="n">
        <f aca="false">-MIN(H54/MAX(1,Inputs!$E$65*12),G57+H53)</f>
        <v>-333.333333333333</v>
      </c>
      <c r="I55" s="22" t="n">
        <f aca="false">-MIN(I54/MAX(1,Inputs!$E$65*12),H57+I53)</f>
        <v>-333.333333333333</v>
      </c>
      <c r="J55" s="22" t="n">
        <f aca="false">-MIN(J54/MAX(1,Inputs!$E$65*12),I57+J53)</f>
        <v>-333.333333333333</v>
      </c>
      <c r="K55" s="22" t="n">
        <f aca="false">-MIN(K54/MAX(1,Inputs!$E$65*12),J57+K53)</f>
        <v>-333.333333333333</v>
      </c>
      <c r="L55" s="22" t="n">
        <f aca="false">-MIN(L54/MAX(1,Inputs!$E$65*12),K57+L53)</f>
        <v>-333.333333333333</v>
      </c>
      <c r="M55" s="22" t="n">
        <f aca="false">-MIN(M54/MAX(1,Inputs!$E$65*12),L57+M53)</f>
        <v>-333.333333333333</v>
      </c>
      <c r="N55" s="22" t="n">
        <f aca="false">-MIN(N54/MAX(1,Inputs!$E$65*12),M57+N53)</f>
        <v>-333.333333333333</v>
      </c>
      <c r="O55" s="22" t="n">
        <f aca="false">-MIN(O54/MAX(1,Inputs!$E$65*12),N57+O53)</f>
        <v>-963.333333333334</v>
      </c>
      <c r="P55" s="22" t="n">
        <f aca="false">-MIN(P54/MAX(1,Inputs!$E$65*12),O57+P53)</f>
        <v>-963.333333333334</v>
      </c>
      <c r="Q55" s="22" t="n">
        <f aca="false">-MIN(Q54/MAX(1,Inputs!$E$65*12),P57+Q53)</f>
        <v>-963.333333333334</v>
      </c>
      <c r="R55" s="22" t="n">
        <f aca="false">-MIN(R54/MAX(1,Inputs!$E$65*12),Q57+R53)</f>
        <v>-963.333333333334</v>
      </c>
      <c r="S55" s="22" t="n">
        <f aca="false">-MIN(S54/MAX(1,Inputs!$E$65*12),R57+S53)</f>
        <v>-963.333333333334</v>
      </c>
      <c r="T55" s="22" t="n">
        <f aca="false">-MIN(T54/MAX(1,Inputs!$E$65*12),S57+T53)</f>
        <v>-963.333333333334</v>
      </c>
      <c r="U55" s="22" t="n">
        <f aca="false">-MIN(U54/MAX(1,Inputs!$E$65*12),T57+U53)</f>
        <v>-963.333333333334</v>
      </c>
      <c r="V55" s="22" t="n">
        <f aca="false">-MIN(V54/MAX(1,Inputs!$E$65*12),U57+V53)</f>
        <v>-963.333333333334</v>
      </c>
      <c r="W55" s="22" t="n">
        <f aca="false">-MIN(W54/MAX(1,Inputs!$E$65*12),V57+W53)</f>
        <v>-963.333333333334</v>
      </c>
      <c r="X55" s="22" t="n">
        <f aca="false">-MIN(X54/MAX(1,Inputs!$E$65*12),W57+X53)</f>
        <v>-963.333333333334</v>
      </c>
      <c r="Y55" s="22" t="n">
        <f aca="false">-MIN(Y54/MAX(1,Inputs!$E$65*12),X57+Y53)</f>
        <v>-963.333333333334</v>
      </c>
      <c r="Z55" s="22" t="n">
        <f aca="false">-MIN(Z54/MAX(1,Inputs!$E$65*12),Y57+Z53)</f>
        <v>-963.333333333334</v>
      </c>
      <c r="AA55" s="22" t="n">
        <f aca="false">-MIN(AA54/MAX(1,Inputs!$E$65*12),Z57+AA53)</f>
        <v>-1668.93333333333</v>
      </c>
      <c r="AB55" s="22" t="n">
        <f aca="false">-MIN(AB54/MAX(1,Inputs!$E$65*12),AA57+AB53)</f>
        <v>-1668.93333333333</v>
      </c>
      <c r="AC55" s="22" t="n">
        <f aca="false">-MIN(AC54/MAX(1,Inputs!$E$65*12),AB57+AC53)</f>
        <v>-1668.93333333333</v>
      </c>
      <c r="AD55" s="22" t="n">
        <f aca="false">-MIN(AD54/MAX(1,Inputs!$E$65*12),AC57+AD53)</f>
        <v>-1668.93333333333</v>
      </c>
      <c r="AE55" s="22" t="n">
        <f aca="false">-MIN(AE54/MAX(1,Inputs!$E$65*12),AD57+AE53)</f>
        <v>-1668.93333333333</v>
      </c>
      <c r="AF55" s="22" t="n">
        <f aca="false">-MIN(AF54/MAX(1,Inputs!$E$65*12),AE57+AF53)</f>
        <v>-1668.93333333333</v>
      </c>
      <c r="AG55" s="22" t="n">
        <f aca="false">-MIN(AG54/MAX(1,Inputs!$E$65*12),AF57+AG53)</f>
        <v>-1668.93333333333</v>
      </c>
      <c r="AH55" s="22" t="n">
        <f aca="false">-MIN(AH54/MAX(1,Inputs!$E$65*12),AG57+AH53)</f>
        <v>-1668.93333333333</v>
      </c>
      <c r="AI55" s="22" t="n">
        <f aca="false">-MIN(AI54/MAX(1,Inputs!$E$65*12),AH57+AI53)</f>
        <v>-1668.93333333333</v>
      </c>
      <c r="AJ55" s="22" t="n">
        <f aca="false">-MIN(AJ54/MAX(1,Inputs!$E$65*12),AI57+AJ53)</f>
        <v>-1668.93333333333</v>
      </c>
      <c r="AK55" s="22" t="n">
        <f aca="false">-MIN(AK54/MAX(1,Inputs!$E$65*12),AJ57+AK53)</f>
        <v>-1668.93333333333</v>
      </c>
      <c r="AL55" s="22" t="n">
        <f aca="false">-MIN(AL54/MAX(1,Inputs!$E$65*12),AK57+AL53)</f>
        <v>-1668.93333333333</v>
      </c>
    </row>
    <row r="56" customFormat="false" ht="15" hidden="false" customHeight="false" outlineLevel="0" collapsed="false">
      <c r="A56" s="11" t="s">
        <v>186</v>
      </c>
      <c r="C56" s="22" t="n">
        <f aca="false">C55</f>
        <v>-333.333333333333</v>
      </c>
      <c r="D56" s="22" t="n">
        <f aca="false">C56+D55</f>
        <v>-666.666666666667</v>
      </c>
      <c r="E56" s="22" t="n">
        <f aca="false">D56+E55</f>
        <v>-1000</v>
      </c>
      <c r="F56" s="22" t="n">
        <f aca="false">E56+F55</f>
        <v>-1333.33333333333</v>
      </c>
      <c r="G56" s="22" t="n">
        <f aca="false">F56+G55</f>
        <v>-1666.66666666667</v>
      </c>
      <c r="H56" s="22" t="n">
        <f aca="false">G56+H55</f>
        <v>-2000</v>
      </c>
      <c r="I56" s="22" t="n">
        <f aca="false">H56+I55</f>
        <v>-2333.33333333333</v>
      </c>
      <c r="J56" s="22" t="n">
        <f aca="false">I56+J55</f>
        <v>-2666.66666666667</v>
      </c>
      <c r="K56" s="22" t="n">
        <f aca="false">J56+K55</f>
        <v>-3000</v>
      </c>
      <c r="L56" s="22" t="n">
        <f aca="false">K56+L55</f>
        <v>-3333.33333333333</v>
      </c>
      <c r="M56" s="22" t="n">
        <f aca="false">L56+M55</f>
        <v>-3666.66666666667</v>
      </c>
      <c r="N56" s="22" t="n">
        <f aca="false">M56+N55</f>
        <v>-4000</v>
      </c>
      <c r="O56" s="22" t="n">
        <f aca="false">N56+O55</f>
        <v>-4963.33333333333</v>
      </c>
      <c r="P56" s="22" t="n">
        <f aca="false">O56+P55</f>
        <v>-5926.66666666667</v>
      </c>
      <c r="Q56" s="22" t="n">
        <f aca="false">P56+Q55</f>
        <v>-6890</v>
      </c>
      <c r="R56" s="22" t="n">
        <f aca="false">Q56+R55</f>
        <v>-7853.33333333334</v>
      </c>
      <c r="S56" s="22" t="n">
        <f aca="false">R56+S55</f>
        <v>-8816.66666666667</v>
      </c>
      <c r="T56" s="22" t="n">
        <f aca="false">S56+T55</f>
        <v>-9780</v>
      </c>
      <c r="U56" s="22" t="n">
        <f aca="false">T56+U55</f>
        <v>-10743.3333333333</v>
      </c>
      <c r="V56" s="22" t="n">
        <f aca="false">U56+V55</f>
        <v>-11706.6666666667</v>
      </c>
      <c r="W56" s="22" t="n">
        <f aca="false">V56+W55</f>
        <v>-12670</v>
      </c>
      <c r="X56" s="22" t="n">
        <f aca="false">W56+X55</f>
        <v>-13633.3333333333</v>
      </c>
      <c r="Y56" s="22" t="n">
        <f aca="false">X56+Y55</f>
        <v>-14596.6666666667</v>
      </c>
      <c r="Z56" s="22" t="n">
        <f aca="false">Y56+Z55</f>
        <v>-15560</v>
      </c>
      <c r="AA56" s="22" t="n">
        <f aca="false">Z56+AA55</f>
        <v>-17228.9333333333</v>
      </c>
      <c r="AB56" s="22" t="n">
        <f aca="false">AA56+AB55</f>
        <v>-18897.8666666667</v>
      </c>
      <c r="AC56" s="22" t="n">
        <f aca="false">AB56+AC55</f>
        <v>-20566.8</v>
      </c>
      <c r="AD56" s="22" t="n">
        <f aca="false">AC56+AD55</f>
        <v>-22235.7333333333</v>
      </c>
      <c r="AE56" s="22" t="n">
        <f aca="false">AD56+AE55</f>
        <v>-23904.6666666667</v>
      </c>
      <c r="AF56" s="22" t="n">
        <f aca="false">AE56+AF55</f>
        <v>-25573.6</v>
      </c>
      <c r="AG56" s="22" t="n">
        <f aca="false">AF56+AG55</f>
        <v>-27242.5333333333</v>
      </c>
      <c r="AH56" s="22" t="n">
        <f aca="false">AG56+AH55</f>
        <v>-28911.4666666667</v>
      </c>
      <c r="AI56" s="22" t="n">
        <f aca="false">AH56+AI55</f>
        <v>-30580.4</v>
      </c>
      <c r="AJ56" s="22" t="n">
        <f aca="false">AI56+AJ55</f>
        <v>-32249.3333333334</v>
      </c>
      <c r="AK56" s="22" t="n">
        <f aca="false">AJ56+AK55</f>
        <v>-33918.2666666667</v>
      </c>
      <c r="AL56" s="22" t="n">
        <f aca="false">AK56+AL55</f>
        <v>-35587.2</v>
      </c>
    </row>
    <row r="57" customFormat="false" ht="15" hidden="false" customHeight="false" outlineLevel="0" collapsed="false">
      <c r="A57" s="4" t="s">
        <v>187</v>
      </c>
      <c r="C57" s="15" t="n">
        <f aca="false">C54+C56</f>
        <v>19666.6666666667</v>
      </c>
      <c r="D57" s="15" t="n">
        <f aca="false">D54+D56</f>
        <v>19333.3333333333</v>
      </c>
      <c r="E57" s="15" t="n">
        <f aca="false">E54+E56</f>
        <v>19000</v>
      </c>
      <c r="F57" s="15" t="n">
        <f aca="false">F54+F56</f>
        <v>18666.6666666667</v>
      </c>
      <c r="G57" s="15" t="n">
        <f aca="false">G54+G56</f>
        <v>18333.3333333333</v>
      </c>
      <c r="H57" s="15" t="n">
        <f aca="false">H54+H56</f>
        <v>18000</v>
      </c>
      <c r="I57" s="15" t="n">
        <f aca="false">I54+I56</f>
        <v>17666.6666666667</v>
      </c>
      <c r="J57" s="15" t="n">
        <f aca="false">J54+J56</f>
        <v>17333.3333333333</v>
      </c>
      <c r="K57" s="15" t="n">
        <f aca="false">K54+K56</f>
        <v>17000</v>
      </c>
      <c r="L57" s="15" t="n">
        <f aca="false">L54+L56</f>
        <v>16666.6666666667</v>
      </c>
      <c r="M57" s="15" t="n">
        <f aca="false">M54+M56</f>
        <v>16333.3333333333</v>
      </c>
      <c r="N57" s="15" t="n">
        <f aca="false">N54+N56</f>
        <v>16000</v>
      </c>
      <c r="O57" s="15" t="n">
        <f aca="false">O54+O56</f>
        <v>52836.6666666667</v>
      </c>
      <c r="P57" s="15" t="n">
        <f aca="false">P54+P56</f>
        <v>51873.3333333334</v>
      </c>
      <c r="Q57" s="15" t="n">
        <f aca="false">Q54+Q56</f>
        <v>50910</v>
      </c>
      <c r="R57" s="15" t="n">
        <f aca="false">R54+R56</f>
        <v>49946.6666666667</v>
      </c>
      <c r="S57" s="15" t="n">
        <f aca="false">S54+S56</f>
        <v>48983.3333333334</v>
      </c>
      <c r="T57" s="15" t="n">
        <f aca="false">T54+T56</f>
        <v>48020</v>
      </c>
      <c r="U57" s="15" t="n">
        <f aca="false">U54+U56</f>
        <v>47056.6666666667</v>
      </c>
      <c r="V57" s="15" t="n">
        <f aca="false">V54+V56</f>
        <v>46093.3333333334</v>
      </c>
      <c r="W57" s="15" t="n">
        <f aca="false">W54+W56</f>
        <v>45130</v>
      </c>
      <c r="X57" s="15" t="n">
        <f aca="false">X54+X56</f>
        <v>44166.6666666667</v>
      </c>
      <c r="Y57" s="15" t="n">
        <f aca="false">Y54+Y56</f>
        <v>43203.3333333334</v>
      </c>
      <c r="Z57" s="15" t="n">
        <f aca="false">Z54+Z56</f>
        <v>42240</v>
      </c>
      <c r="AA57" s="15" t="n">
        <f aca="false">AA54+AA56</f>
        <v>82907.0666666667</v>
      </c>
      <c r="AB57" s="15" t="n">
        <f aca="false">AB54+AB56</f>
        <v>81238.1333333334</v>
      </c>
      <c r="AC57" s="15" t="n">
        <f aca="false">AC54+AC56</f>
        <v>79569.2</v>
      </c>
      <c r="AD57" s="15" t="n">
        <f aca="false">AD54+AD56</f>
        <v>77900.2666666667</v>
      </c>
      <c r="AE57" s="15" t="n">
        <f aca="false">AE54+AE56</f>
        <v>76231.3333333334</v>
      </c>
      <c r="AF57" s="15" t="n">
        <f aca="false">AF54+AF56</f>
        <v>74562.4000000001</v>
      </c>
      <c r="AG57" s="15" t="n">
        <f aca="false">AG54+AG56</f>
        <v>72893.4666666667</v>
      </c>
      <c r="AH57" s="15" t="n">
        <f aca="false">AH54+AH56</f>
        <v>71224.5333333334</v>
      </c>
      <c r="AI57" s="15" t="n">
        <f aca="false">AI54+AI56</f>
        <v>69555.6</v>
      </c>
      <c r="AJ57" s="15" t="n">
        <f aca="false">AJ54+AJ56</f>
        <v>67886.6666666667</v>
      </c>
      <c r="AK57" s="15" t="n">
        <f aca="false">AK54+AK56</f>
        <v>66217.7333333334</v>
      </c>
      <c r="AL57" s="15" t="n">
        <f aca="false">AL54+AL56</f>
        <v>64548.8</v>
      </c>
    </row>
    <row r="59" customFormat="false" ht="15" hidden="false" customHeight="false" outlineLevel="0" collapsed="false">
      <c r="A59" s="7" t="s">
        <v>188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customFormat="false" ht="15" hidden="false" customHeight="false" outlineLevel="0" collapsed="false">
      <c r="A60" s="11" t="s">
        <v>189</v>
      </c>
      <c r="C60" s="22" t="n">
        <f aca="false">0</f>
        <v>0</v>
      </c>
      <c r="D60" s="22" t="n">
        <f aca="false">C63</f>
        <v>250000</v>
      </c>
      <c r="E60" s="22" t="n">
        <f aca="false">D63</f>
        <v>245833.333333333</v>
      </c>
      <c r="F60" s="22" t="n">
        <f aca="false">E63</f>
        <v>241666.666666667</v>
      </c>
      <c r="G60" s="22" t="n">
        <f aca="false">F63</f>
        <v>237500</v>
      </c>
      <c r="H60" s="22" t="n">
        <f aca="false">G63</f>
        <v>233333.333333333</v>
      </c>
      <c r="I60" s="22" t="n">
        <f aca="false">H63</f>
        <v>229166.666666667</v>
      </c>
      <c r="J60" s="22" t="n">
        <f aca="false">I63</f>
        <v>225000</v>
      </c>
      <c r="K60" s="22" t="n">
        <f aca="false">J63</f>
        <v>220833.333333333</v>
      </c>
      <c r="L60" s="22" t="n">
        <f aca="false">K63</f>
        <v>216666.666666667</v>
      </c>
      <c r="M60" s="22" t="n">
        <f aca="false">L63</f>
        <v>212500</v>
      </c>
      <c r="N60" s="22" t="n">
        <f aca="false">M63</f>
        <v>208333.333333333</v>
      </c>
      <c r="O60" s="22" t="n">
        <f aca="false">N63</f>
        <v>204166.666666667</v>
      </c>
      <c r="P60" s="22" t="n">
        <f aca="false">O63</f>
        <v>200000</v>
      </c>
      <c r="Q60" s="22" t="n">
        <f aca="false">P63</f>
        <v>195833.333333333</v>
      </c>
      <c r="R60" s="22" t="n">
        <f aca="false">Q63</f>
        <v>191666.666666667</v>
      </c>
      <c r="S60" s="22" t="n">
        <f aca="false">R63</f>
        <v>187500</v>
      </c>
      <c r="T60" s="22" t="n">
        <f aca="false">S63</f>
        <v>183333.333333334</v>
      </c>
      <c r="U60" s="22" t="n">
        <f aca="false">T63</f>
        <v>179166.666666667</v>
      </c>
      <c r="V60" s="22" t="n">
        <f aca="false">U63</f>
        <v>175000</v>
      </c>
      <c r="W60" s="22" t="n">
        <f aca="false">V63</f>
        <v>170833.333333334</v>
      </c>
      <c r="X60" s="22" t="n">
        <f aca="false">W63</f>
        <v>166666.666666667</v>
      </c>
      <c r="Y60" s="22" t="n">
        <f aca="false">X63</f>
        <v>162500</v>
      </c>
      <c r="Z60" s="22" t="n">
        <f aca="false">Y63</f>
        <v>158333.333333334</v>
      </c>
      <c r="AA60" s="22" t="n">
        <f aca="false">Z63</f>
        <v>154166.666666667</v>
      </c>
      <c r="AB60" s="22" t="n">
        <f aca="false">AA63</f>
        <v>150000</v>
      </c>
      <c r="AC60" s="22" t="n">
        <f aca="false">AB63</f>
        <v>145833.333333334</v>
      </c>
      <c r="AD60" s="22" t="n">
        <f aca="false">AC63</f>
        <v>141666.666666667</v>
      </c>
      <c r="AE60" s="22" t="n">
        <f aca="false">AD63</f>
        <v>137500</v>
      </c>
      <c r="AF60" s="22" t="n">
        <f aca="false">AE63</f>
        <v>133333.333333334</v>
      </c>
      <c r="AG60" s="22" t="n">
        <f aca="false">AF63</f>
        <v>129166.666666667</v>
      </c>
      <c r="AH60" s="22" t="n">
        <f aca="false">AG63</f>
        <v>125000</v>
      </c>
      <c r="AI60" s="22" t="n">
        <f aca="false">AH63</f>
        <v>120833.333333334</v>
      </c>
      <c r="AJ60" s="22" t="n">
        <f aca="false">AI63</f>
        <v>116666.666666667</v>
      </c>
      <c r="AK60" s="22" t="n">
        <f aca="false">AJ63</f>
        <v>112500</v>
      </c>
      <c r="AL60" s="22" t="n">
        <f aca="false">AK63</f>
        <v>108333.333333334</v>
      </c>
    </row>
    <row r="61" customFormat="false" ht="15" hidden="false" customHeight="false" outlineLevel="0" collapsed="false">
      <c r="A61" s="11" t="s">
        <v>190</v>
      </c>
      <c r="C61" s="22" t="n">
        <f aca="false">IF(C$4=1,Inputs!$E$55,0)</f>
        <v>250000</v>
      </c>
      <c r="D61" s="22" t="n">
        <f aca="false">IF(D$4=1,Inputs!$E$55,0)</f>
        <v>0</v>
      </c>
      <c r="E61" s="22" t="n">
        <f aca="false">IF(E$4=1,Inputs!$E$55,0)</f>
        <v>0</v>
      </c>
      <c r="F61" s="22" t="n">
        <f aca="false">IF(F$4=1,Inputs!$E$55,0)</f>
        <v>0</v>
      </c>
      <c r="G61" s="22" t="n">
        <f aca="false">IF(G$4=1,Inputs!$E$55,0)</f>
        <v>0</v>
      </c>
      <c r="H61" s="22" t="n">
        <f aca="false">IF(H$4=1,Inputs!$E$55,0)</f>
        <v>0</v>
      </c>
      <c r="I61" s="22" t="n">
        <f aca="false">IF(I$4=1,Inputs!$E$55,0)</f>
        <v>0</v>
      </c>
      <c r="J61" s="22" t="n">
        <f aca="false">IF(J$4=1,Inputs!$E$55,0)</f>
        <v>0</v>
      </c>
      <c r="K61" s="22" t="n">
        <f aca="false">IF(K$4=1,Inputs!$E$55,0)</f>
        <v>0</v>
      </c>
      <c r="L61" s="22" t="n">
        <f aca="false">IF(L$4=1,Inputs!$E$55,0)</f>
        <v>0</v>
      </c>
      <c r="M61" s="22" t="n">
        <f aca="false">IF(M$4=1,Inputs!$E$55,0)</f>
        <v>0</v>
      </c>
      <c r="N61" s="22" t="n">
        <f aca="false">IF(N$4=1,Inputs!$E$55,0)</f>
        <v>0</v>
      </c>
      <c r="O61" s="22" t="n">
        <f aca="false">IF(O$4=1,Inputs!$E$55,0)</f>
        <v>0</v>
      </c>
      <c r="P61" s="22" t="n">
        <f aca="false">IF(P$4=1,Inputs!$E$55,0)</f>
        <v>0</v>
      </c>
      <c r="Q61" s="22" t="n">
        <f aca="false">IF(Q$4=1,Inputs!$E$55,0)</f>
        <v>0</v>
      </c>
      <c r="R61" s="22" t="n">
        <f aca="false">IF(R$4=1,Inputs!$E$55,0)</f>
        <v>0</v>
      </c>
      <c r="S61" s="22" t="n">
        <f aca="false">IF(S$4=1,Inputs!$E$55,0)</f>
        <v>0</v>
      </c>
      <c r="T61" s="22" t="n">
        <f aca="false">IF(T$4=1,Inputs!$E$55,0)</f>
        <v>0</v>
      </c>
      <c r="U61" s="22" t="n">
        <f aca="false">IF(U$4=1,Inputs!$E$55,0)</f>
        <v>0</v>
      </c>
      <c r="V61" s="22" t="n">
        <f aca="false">IF(V$4=1,Inputs!$E$55,0)</f>
        <v>0</v>
      </c>
      <c r="W61" s="22" t="n">
        <f aca="false">IF(W$4=1,Inputs!$E$55,0)</f>
        <v>0</v>
      </c>
      <c r="X61" s="22" t="n">
        <f aca="false">IF(X$4=1,Inputs!$E$55,0)</f>
        <v>0</v>
      </c>
      <c r="Y61" s="22" t="n">
        <f aca="false">IF(Y$4=1,Inputs!$E$55,0)</f>
        <v>0</v>
      </c>
      <c r="Z61" s="22" t="n">
        <f aca="false">IF(Z$4=1,Inputs!$E$55,0)</f>
        <v>0</v>
      </c>
      <c r="AA61" s="22" t="n">
        <f aca="false">IF(AA$4=1,Inputs!$E$55,0)</f>
        <v>0</v>
      </c>
      <c r="AB61" s="22" t="n">
        <f aca="false">IF(AB$4=1,Inputs!$E$55,0)</f>
        <v>0</v>
      </c>
      <c r="AC61" s="22" t="n">
        <f aca="false">IF(AC$4=1,Inputs!$E$55,0)</f>
        <v>0</v>
      </c>
      <c r="AD61" s="22" t="n">
        <f aca="false">IF(AD$4=1,Inputs!$E$55,0)</f>
        <v>0</v>
      </c>
      <c r="AE61" s="22" t="n">
        <f aca="false">IF(AE$4=1,Inputs!$E$55,0)</f>
        <v>0</v>
      </c>
      <c r="AF61" s="22" t="n">
        <f aca="false">IF(AF$4=1,Inputs!$E$55,0)</f>
        <v>0</v>
      </c>
      <c r="AG61" s="22" t="n">
        <f aca="false">IF(AG$4=1,Inputs!$E$55,0)</f>
        <v>0</v>
      </c>
      <c r="AH61" s="22" t="n">
        <f aca="false">IF(AH$4=1,Inputs!$E$55,0)</f>
        <v>0</v>
      </c>
      <c r="AI61" s="22" t="n">
        <f aca="false">IF(AI$4=1,Inputs!$E$55,0)</f>
        <v>0</v>
      </c>
      <c r="AJ61" s="22" t="n">
        <f aca="false">IF(AJ$4=1,Inputs!$E$55,0)</f>
        <v>0</v>
      </c>
      <c r="AK61" s="22" t="n">
        <f aca="false">IF(AK$4=1,Inputs!$E$55,0)</f>
        <v>0</v>
      </c>
      <c r="AL61" s="22" t="n">
        <f aca="false">IF(AL$4=1,Inputs!$E$55,0)</f>
        <v>0</v>
      </c>
    </row>
    <row r="62" customFormat="false" ht="15" hidden="false" customHeight="false" outlineLevel="0" collapsed="false">
      <c r="A62" s="11" t="s">
        <v>191</v>
      </c>
      <c r="C62" s="22" t="n">
        <f aca="false">-MIN(C60,Inputs!$E$55/MAX(1,Inputs!$E$57*12))</f>
        <v>-0</v>
      </c>
      <c r="D62" s="22" t="n">
        <f aca="false">-MIN(D60,Inputs!$E$55/MAX(1,Inputs!$E$57*12))</f>
        <v>-4166.66666666667</v>
      </c>
      <c r="E62" s="22" t="n">
        <f aca="false">-MIN(E60,Inputs!$E$55/MAX(1,Inputs!$E$57*12))</f>
        <v>-4166.66666666667</v>
      </c>
      <c r="F62" s="22" t="n">
        <f aca="false">-MIN(F60,Inputs!$E$55/MAX(1,Inputs!$E$57*12))</f>
        <v>-4166.66666666667</v>
      </c>
      <c r="G62" s="22" t="n">
        <f aca="false">-MIN(G60,Inputs!$E$55/MAX(1,Inputs!$E$57*12))</f>
        <v>-4166.66666666667</v>
      </c>
      <c r="H62" s="22" t="n">
        <f aca="false">-MIN(H60,Inputs!$E$55/MAX(1,Inputs!$E$57*12))</f>
        <v>-4166.66666666667</v>
      </c>
      <c r="I62" s="22" t="n">
        <f aca="false">-MIN(I60,Inputs!$E$55/MAX(1,Inputs!$E$57*12))</f>
        <v>-4166.66666666667</v>
      </c>
      <c r="J62" s="22" t="n">
        <f aca="false">-MIN(J60,Inputs!$E$55/MAX(1,Inputs!$E$57*12))</f>
        <v>-4166.66666666667</v>
      </c>
      <c r="K62" s="22" t="n">
        <f aca="false">-MIN(K60,Inputs!$E$55/MAX(1,Inputs!$E$57*12))</f>
        <v>-4166.66666666667</v>
      </c>
      <c r="L62" s="22" t="n">
        <f aca="false">-MIN(L60,Inputs!$E$55/MAX(1,Inputs!$E$57*12))</f>
        <v>-4166.66666666667</v>
      </c>
      <c r="M62" s="22" t="n">
        <f aca="false">-MIN(M60,Inputs!$E$55/MAX(1,Inputs!$E$57*12))</f>
        <v>-4166.66666666667</v>
      </c>
      <c r="N62" s="22" t="n">
        <f aca="false">-MIN(N60,Inputs!$E$55/MAX(1,Inputs!$E$57*12))</f>
        <v>-4166.66666666667</v>
      </c>
      <c r="O62" s="22" t="n">
        <f aca="false">-MIN(O60,Inputs!$E$55/MAX(1,Inputs!$E$57*12))</f>
        <v>-4166.66666666667</v>
      </c>
      <c r="P62" s="22" t="n">
        <f aca="false">-MIN(P60,Inputs!$E$55/MAX(1,Inputs!$E$57*12))</f>
        <v>-4166.66666666667</v>
      </c>
      <c r="Q62" s="22" t="n">
        <f aca="false">-MIN(Q60,Inputs!$E$55/MAX(1,Inputs!$E$57*12))</f>
        <v>-4166.66666666667</v>
      </c>
      <c r="R62" s="22" t="n">
        <f aca="false">-MIN(R60,Inputs!$E$55/MAX(1,Inputs!$E$57*12))</f>
        <v>-4166.66666666667</v>
      </c>
      <c r="S62" s="22" t="n">
        <f aca="false">-MIN(S60,Inputs!$E$55/MAX(1,Inputs!$E$57*12))</f>
        <v>-4166.66666666667</v>
      </c>
      <c r="T62" s="22" t="n">
        <f aca="false">-MIN(T60,Inputs!$E$55/MAX(1,Inputs!$E$57*12))</f>
        <v>-4166.66666666667</v>
      </c>
      <c r="U62" s="22" t="n">
        <f aca="false">-MIN(U60,Inputs!$E$55/MAX(1,Inputs!$E$57*12))</f>
        <v>-4166.66666666667</v>
      </c>
      <c r="V62" s="22" t="n">
        <f aca="false">-MIN(V60,Inputs!$E$55/MAX(1,Inputs!$E$57*12))</f>
        <v>-4166.66666666667</v>
      </c>
      <c r="W62" s="22" t="n">
        <f aca="false">-MIN(W60,Inputs!$E$55/MAX(1,Inputs!$E$57*12))</f>
        <v>-4166.66666666667</v>
      </c>
      <c r="X62" s="22" t="n">
        <f aca="false">-MIN(X60,Inputs!$E$55/MAX(1,Inputs!$E$57*12))</f>
        <v>-4166.66666666667</v>
      </c>
      <c r="Y62" s="22" t="n">
        <f aca="false">-MIN(Y60,Inputs!$E$55/MAX(1,Inputs!$E$57*12))</f>
        <v>-4166.66666666667</v>
      </c>
      <c r="Z62" s="22" t="n">
        <f aca="false">-MIN(Z60,Inputs!$E$55/MAX(1,Inputs!$E$57*12))</f>
        <v>-4166.66666666667</v>
      </c>
      <c r="AA62" s="22" t="n">
        <f aca="false">-MIN(AA60,Inputs!$E$55/MAX(1,Inputs!$E$57*12))</f>
        <v>-4166.66666666667</v>
      </c>
      <c r="AB62" s="22" t="n">
        <f aca="false">-MIN(AB60,Inputs!$E$55/MAX(1,Inputs!$E$57*12))</f>
        <v>-4166.66666666667</v>
      </c>
      <c r="AC62" s="22" t="n">
        <f aca="false">-MIN(AC60,Inputs!$E$55/MAX(1,Inputs!$E$57*12))</f>
        <v>-4166.66666666667</v>
      </c>
      <c r="AD62" s="22" t="n">
        <f aca="false">-MIN(AD60,Inputs!$E$55/MAX(1,Inputs!$E$57*12))</f>
        <v>-4166.66666666667</v>
      </c>
      <c r="AE62" s="22" t="n">
        <f aca="false">-MIN(AE60,Inputs!$E$55/MAX(1,Inputs!$E$57*12))</f>
        <v>-4166.66666666667</v>
      </c>
      <c r="AF62" s="22" t="n">
        <f aca="false">-MIN(AF60,Inputs!$E$55/MAX(1,Inputs!$E$57*12))</f>
        <v>-4166.66666666667</v>
      </c>
      <c r="AG62" s="22" t="n">
        <f aca="false">-MIN(AG60,Inputs!$E$55/MAX(1,Inputs!$E$57*12))</f>
        <v>-4166.66666666667</v>
      </c>
      <c r="AH62" s="22" t="n">
        <f aca="false">-MIN(AH60,Inputs!$E$55/MAX(1,Inputs!$E$57*12))</f>
        <v>-4166.66666666667</v>
      </c>
      <c r="AI62" s="22" t="n">
        <f aca="false">-MIN(AI60,Inputs!$E$55/MAX(1,Inputs!$E$57*12))</f>
        <v>-4166.66666666667</v>
      </c>
      <c r="AJ62" s="22" t="n">
        <f aca="false">-MIN(AJ60,Inputs!$E$55/MAX(1,Inputs!$E$57*12))</f>
        <v>-4166.66666666667</v>
      </c>
      <c r="AK62" s="22" t="n">
        <f aca="false">-MIN(AK60,Inputs!$E$55/MAX(1,Inputs!$E$57*12))</f>
        <v>-4166.66666666667</v>
      </c>
      <c r="AL62" s="22" t="n">
        <f aca="false">-MIN(AL60,Inputs!$E$55/MAX(1,Inputs!$E$57*12))</f>
        <v>-4166.66666666667</v>
      </c>
    </row>
    <row r="63" customFormat="false" ht="15" hidden="false" customHeight="false" outlineLevel="0" collapsed="false">
      <c r="A63" s="4" t="s">
        <v>192</v>
      </c>
      <c r="C63" s="15" t="n">
        <f aca="false">C60+C61+C62</f>
        <v>250000</v>
      </c>
      <c r="D63" s="15" t="n">
        <f aca="false">D60+D61+D62</f>
        <v>245833.333333333</v>
      </c>
      <c r="E63" s="15" t="n">
        <f aca="false">E60+E61+E62</f>
        <v>241666.666666667</v>
      </c>
      <c r="F63" s="15" t="n">
        <f aca="false">F60+F61+F62</f>
        <v>237500</v>
      </c>
      <c r="G63" s="15" t="n">
        <f aca="false">G60+G61+G62</f>
        <v>233333.333333333</v>
      </c>
      <c r="H63" s="15" t="n">
        <f aca="false">H60+H61+H62</f>
        <v>229166.666666667</v>
      </c>
      <c r="I63" s="15" t="n">
        <f aca="false">I60+I61+I62</f>
        <v>225000</v>
      </c>
      <c r="J63" s="15" t="n">
        <f aca="false">J60+J61+J62</f>
        <v>220833.333333333</v>
      </c>
      <c r="K63" s="15" t="n">
        <f aca="false">K60+K61+K62</f>
        <v>216666.666666667</v>
      </c>
      <c r="L63" s="15" t="n">
        <f aca="false">L60+L61+L62</f>
        <v>212500</v>
      </c>
      <c r="M63" s="15" t="n">
        <f aca="false">M60+M61+M62</f>
        <v>208333.333333333</v>
      </c>
      <c r="N63" s="15" t="n">
        <f aca="false">N60+N61+N62</f>
        <v>204166.666666667</v>
      </c>
      <c r="O63" s="15" t="n">
        <f aca="false">O60+O61+O62</f>
        <v>200000</v>
      </c>
      <c r="P63" s="15" t="n">
        <f aca="false">P60+P61+P62</f>
        <v>195833.333333333</v>
      </c>
      <c r="Q63" s="15" t="n">
        <f aca="false">Q60+Q61+Q62</f>
        <v>191666.666666667</v>
      </c>
      <c r="R63" s="15" t="n">
        <f aca="false">R60+R61+R62</f>
        <v>187500</v>
      </c>
      <c r="S63" s="15" t="n">
        <f aca="false">S60+S61+S62</f>
        <v>183333.333333334</v>
      </c>
      <c r="T63" s="15" t="n">
        <f aca="false">T60+T61+T62</f>
        <v>179166.666666667</v>
      </c>
      <c r="U63" s="15" t="n">
        <f aca="false">U60+U61+U62</f>
        <v>175000</v>
      </c>
      <c r="V63" s="15" t="n">
        <f aca="false">V60+V61+V62</f>
        <v>170833.333333334</v>
      </c>
      <c r="W63" s="15" t="n">
        <f aca="false">W60+W61+W62</f>
        <v>166666.666666667</v>
      </c>
      <c r="X63" s="15" t="n">
        <f aca="false">X60+X61+X62</f>
        <v>162500</v>
      </c>
      <c r="Y63" s="15" t="n">
        <f aca="false">Y60+Y61+Y62</f>
        <v>158333.333333334</v>
      </c>
      <c r="Z63" s="15" t="n">
        <f aca="false">Z60+Z61+Z62</f>
        <v>154166.666666667</v>
      </c>
      <c r="AA63" s="15" t="n">
        <f aca="false">AA60+AA61+AA62</f>
        <v>150000</v>
      </c>
      <c r="AB63" s="15" t="n">
        <f aca="false">AB60+AB61+AB62</f>
        <v>145833.333333334</v>
      </c>
      <c r="AC63" s="15" t="n">
        <f aca="false">AC60+AC61+AC62</f>
        <v>141666.666666667</v>
      </c>
      <c r="AD63" s="15" t="n">
        <f aca="false">AD60+AD61+AD62</f>
        <v>137500</v>
      </c>
      <c r="AE63" s="15" t="n">
        <f aca="false">AE60+AE61+AE62</f>
        <v>133333.333333334</v>
      </c>
      <c r="AF63" s="15" t="n">
        <f aca="false">AF60+AF61+AF62</f>
        <v>129166.666666667</v>
      </c>
      <c r="AG63" s="15" t="n">
        <f aca="false">AG60+AG61+AG62</f>
        <v>125000</v>
      </c>
      <c r="AH63" s="15" t="n">
        <f aca="false">AH60+AH61+AH62</f>
        <v>120833.333333334</v>
      </c>
      <c r="AI63" s="15" t="n">
        <f aca="false">AI60+AI61+AI62</f>
        <v>116666.666666667</v>
      </c>
      <c r="AJ63" s="15" t="n">
        <f aca="false">AJ60+AJ61+AJ62</f>
        <v>112500</v>
      </c>
      <c r="AK63" s="15" t="n">
        <f aca="false">AK60+AK61+AK62</f>
        <v>108333.333333334</v>
      </c>
      <c r="AL63" s="15" t="n">
        <f aca="false">AL60+AL61+AL62</f>
        <v>104166.666666667</v>
      </c>
    </row>
    <row r="65" customFormat="false" ht="15" hidden="false" customHeight="false" outlineLevel="0" collapsed="false">
      <c r="A65" s="7" t="s">
        <v>104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customFormat="false" ht="15" hidden="false" customHeight="false" outlineLevel="0" collapsed="false">
      <c r="A66" s="11" t="s">
        <v>193</v>
      </c>
      <c r="C66" s="22" t="n">
        <f aca="false">C22*Inputs!$E$60/30</f>
        <v>44478.8888888889</v>
      </c>
      <c r="D66" s="22" t="n">
        <f aca="false">D22*Inputs!$E$60/30</f>
        <v>44478.8888888889</v>
      </c>
      <c r="E66" s="22" t="n">
        <f aca="false">E22*Inputs!$E$60/30</f>
        <v>44478.8888888889</v>
      </c>
      <c r="F66" s="22" t="n">
        <f aca="false">F22*Inputs!$E$60/30</f>
        <v>44478.8888888889</v>
      </c>
      <c r="G66" s="22" t="n">
        <f aca="false">G22*Inputs!$E$60/30</f>
        <v>44478.8888888889</v>
      </c>
      <c r="H66" s="22" t="n">
        <f aca="false">H22*Inputs!$E$60/30</f>
        <v>56566.6666666667</v>
      </c>
      <c r="I66" s="22" t="n">
        <f aca="false">I22*Inputs!$E$60/30</f>
        <v>56566.6666666667</v>
      </c>
      <c r="J66" s="22" t="n">
        <f aca="false">J22*Inputs!$E$60/30</f>
        <v>56566.6666666667</v>
      </c>
      <c r="K66" s="22" t="n">
        <f aca="false">K22*Inputs!$E$60/30</f>
        <v>44478.8888888889</v>
      </c>
      <c r="L66" s="22" t="n">
        <f aca="false">L22*Inputs!$E$60/30</f>
        <v>44478.8888888889</v>
      </c>
      <c r="M66" s="22" t="n">
        <f aca="false">M22*Inputs!$E$60/30</f>
        <v>44478.8888888889</v>
      </c>
      <c r="N66" s="22" t="n">
        <f aca="false">N22*Inputs!$E$60/30</f>
        <v>44478.8888888889</v>
      </c>
      <c r="O66" s="22" t="n">
        <f aca="false">O22*Inputs!$E$60/30</f>
        <v>52822.5772222222</v>
      </c>
      <c r="P66" s="22" t="n">
        <f aca="false">P22*Inputs!$E$60/30</f>
        <v>52822.5772222222</v>
      </c>
      <c r="Q66" s="22" t="n">
        <f aca="false">Q22*Inputs!$E$60/30</f>
        <v>52822.5772222222</v>
      </c>
      <c r="R66" s="22" t="n">
        <f aca="false">R22*Inputs!$E$60/30</f>
        <v>52822.5772222222</v>
      </c>
      <c r="S66" s="22" t="n">
        <f aca="false">S22*Inputs!$E$60/30</f>
        <v>52822.5772222222</v>
      </c>
      <c r="T66" s="22" t="n">
        <f aca="false">T22*Inputs!$E$60/30</f>
        <v>65475.04</v>
      </c>
      <c r="U66" s="22" t="n">
        <f aca="false">U22*Inputs!$E$60/30</f>
        <v>65475.04</v>
      </c>
      <c r="V66" s="22" t="n">
        <f aca="false">V22*Inputs!$E$60/30</f>
        <v>65475.04</v>
      </c>
      <c r="W66" s="22" t="n">
        <f aca="false">W22*Inputs!$E$60/30</f>
        <v>52822.5772222222</v>
      </c>
      <c r="X66" s="22" t="n">
        <f aca="false">X22*Inputs!$E$60/30</f>
        <v>52822.5772222222</v>
      </c>
      <c r="Y66" s="22" t="n">
        <f aca="false">Y22*Inputs!$E$60/30</f>
        <v>52822.5772222222</v>
      </c>
      <c r="Z66" s="22" t="n">
        <f aca="false">Z22*Inputs!$E$60/30</f>
        <v>52822.5772222222</v>
      </c>
      <c r="AA66" s="22" t="n">
        <f aca="false">AA22*Inputs!$E$60/30</f>
        <v>62738.0867197222</v>
      </c>
      <c r="AB66" s="22" t="n">
        <f aca="false">AB22*Inputs!$E$60/30</f>
        <v>62738.0867197222</v>
      </c>
      <c r="AC66" s="22" t="n">
        <f aca="false">AC22*Inputs!$E$60/30</f>
        <v>62738.0867197222</v>
      </c>
      <c r="AD66" s="22" t="n">
        <f aca="false">AD22*Inputs!$E$60/30</f>
        <v>62738.0867197222</v>
      </c>
      <c r="AE66" s="22" t="n">
        <f aca="false">AE22*Inputs!$E$60/30</f>
        <v>62738.0867197222</v>
      </c>
      <c r="AF66" s="22" t="n">
        <f aca="false">AF22*Inputs!$E$60/30</f>
        <v>75803.596544</v>
      </c>
      <c r="AG66" s="22" t="n">
        <f aca="false">AG22*Inputs!$E$60/30</f>
        <v>75803.596544</v>
      </c>
      <c r="AH66" s="22" t="n">
        <f aca="false">AH22*Inputs!$E$60/30</f>
        <v>75803.596544</v>
      </c>
      <c r="AI66" s="22" t="n">
        <f aca="false">AI22*Inputs!$E$60/30</f>
        <v>62738.0867197222</v>
      </c>
      <c r="AJ66" s="22" t="n">
        <f aca="false">AJ22*Inputs!$E$60/30</f>
        <v>62738.0867197222</v>
      </c>
      <c r="AK66" s="22" t="n">
        <f aca="false">AK22*Inputs!$E$60/30</f>
        <v>62738.0867197222</v>
      </c>
      <c r="AL66" s="22" t="n">
        <f aca="false">AL22*Inputs!$E$60/30</f>
        <v>62738.0867197222</v>
      </c>
    </row>
    <row r="67" customFormat="false" ht="15" hidden="false" customHeight="false" outlineLevel="0" collapsed="false">
      <c r="A67" s="11" t="s">
        <v>194</v>
      </c>
      <c r="C67" s="22" t="n">
        <f aca="false">-C29*Inputs!$E$61/30</f>
        <v>14208.4722222222</v>
      </c>
      <c r="D67" s="22" t="n">
        <f aca="false">-D29*Inputs!$E$61/30</f>
        <v>14208.4722222222</v>
      </c>
      <c r="E67" s="22" t="n">
        <f aca="false">-E29*Inputs!$E$61/30</f>
        <v>14208.4722222222</v>
      </c>
      <c r="F67" s="22" t="n">
        <f aca="false">-F29*Inputs!$E$61/30</f>
        <v>14208.4722222222</v>
      </c>
      <c r="G67" s="22" t="n">
        <f aca="false">-G29*Inputs!$E$61/30</f>
        <v>14208.4722222222</v>
      </c>
      <c r="H67" s="22" t="n">
        <f aca="false">-H29*Inputs!$E$61/30</f>
        <v>15719.4444444444</v>
      </c>
      <c r="I67" s="22" t="n">
        <f aca="false">-I29*Inputs!$E$61/30</f>
        <v>15719.4444444444</v>
      </c>
      <c r="J67" s="22" t="n">
        <f aca="false">-J29*Inputs!$E$61/30</f>
        <v>15719.4444444444</v>
      </c>
      <c r="K67" s="22" t="n">
        <f aca="false">-K29*Inputs!$E$61/30</f>
        <v>14208.4722222222</v>
      </c>
      <c r="L67" s="22" t="n">
        <f aca="false">-L29*Inputs!$E$61/30</f>
        <v>14208.4722222222</v>
      </c>
      <c r="M67" s="22" t="n">
        <f aca="false">-M29*Inputs!$E$61/30</f>
        <v>14208.4722222222</v>
      </c>
      <c r="N67" s="22" t="n">
        <f aca="false">-N29*Inputs!$E$61/30</f>
        <v>14208.4722222222</v>
      </c>
      <c r="O67" s="22" t="n">
        <f aca="false">-O29*Inputs!$E$61/30</f>
        <v>16545.3799305556</v>
      </c>
      <c r="P67" s="22" t="n">
        <f aca="false">-P29*Inputs!$E$61/30</f>
        <v>16545.3799305556</v>
      </c>
      <c r="Q67" s="22" t="n">
        <f aca="false">-Q29*Inputs!$E$61/30</f>
        <v>16545.3799305556</v>
      </c>
      <c r="R67" s="22" t="n">
        <f aca="false">-R29*Inputs!$E$61/30</f>
        <v>16545.3799305556</v>
      </c>
      <c r="S67" s="22" t="n">
        <f aca="false">-S29*Inputs!$E$61/30</f>
        <v>16545.3799305556</v>
      </c>
      <c r="T67" s="22" t="n">
        <f aca="false">-T29*Inputs!$E$61/30</f>
        <v>18126.9377777778</v>
      </c>
      <c r="U67" s="22" t="n">
        <f aca="false">-U29*Inputs!$E$61/30</f>
        <v>18126.9377777778</v>
      </c>
      <c r="V67" s="22" t="n">
        <f aca="false">-V29*Inputs!$E$61/30</f>
        <v>18126.9377777778</v>
      </c>
      <c r="W67" s="22" t="n">
        <f aca="false">-W29*Inputs!$E$61/30</f>
        <v>16545.3799305556</v>
      </c>
      <c r="X67" s="22" t="n">
        <f aca="false">-X29*Inputs!$E$61/30</f>
        <v>16545.3799305556</v>
      </c>
      <c r="Y67" s="22" t="n">
        <f aca="false">-Y29*Inputs!$E$61/30</f>
        <v>16545.3799305556</v>
      </c>
      <c r="Z67" s="22" t="n">
        <f aca="false">-Z29*Inputs!$E$61/30</f>
        <v>16545.3799305556</v>
      </c>
      <c r="AA67" s="22" t="n">
        <f aca="false">-AA29*Inputs!$E$61/30</f>
        <v>19275.2895724097</v>
      </c>
      <c r="AB67" s="22" t="n">
        <f aca="false">-AB29*Inputs!$E$61/30</f>
        <v>19275.2895724097</v>
      </c>
      <c r="AC67" s="22" t="n">
        <f aca="false">-AC29*Inputs!$E$61/30</f>
        <v>19275.2895724097</v>
      </c>
      <c r="AD67" s="22" t="n">
        <f aca="false">-AD29*Inputs!$E$61/30</f>
        <v>19275.2895724097</v>
      </c>
      <c r="AE67" s="22" t="n">
        <f aca="false">-AE29*Inputs!$E$61/30</f>
        <v>19275.2895724097</v>
      </c>
      <c r="AF67" s="22" t="n">
        <f aca="false">-AF29*Inputs!$E$61/30</f>
        <v>20908.4783004444</v>
      </c>
      <c r="AG67" s="22" t="n">
        <f aca="false">-AG29*Inputs!$E$61/30</f>
        <v>20908.4783004444</v>
      </c>
      <c r="AH67" s="22" t="n">
        <f aca="false">-AH29*Inputs!$E$61/30</f>
        <v>20908.4783004444</v>
      </c>
      <c r="AI67" s="22" t="n">
        <f aca="false">-AI29*Inputs!$E$61/30</f>
        <v>19275.2895724097</v>
      </c>
      <c r="AJ67" s="22" t="n">
        <f aca="false">-AJ29*Inputs!$E$61/30</f>
        <v>19275.2895724097</v>
      </c>
      <c r="AK67" s="22" t="n">
        <f aca="false">-AK29*Inputs!$E$61/30</f>
        <v>19275.2895724097</v>
      </c>
      <c r="AL67" s="22" t="n">
        <f aca="false">-AL29*Inputs!$E$61/30</f>
        <v>19275.2895724097</v>
      </c>
    </row>
    <row r="68" customFormat="false" ht="15" hidden="false" customHeight="false" outlineLevel="0" collapsed="false">
      <c r="A68" s="11" t="s">
        <v>195</v>
      </c>
      <c r="C68" s="22" t="n">
        <f aca="false">-C29*Inputs!$E$62/30</f>
        <v>56833.8888888889</v>
      </c>
      <c r="D68" s="22" t="n">
        <f aca="false">-D29*Inputs!$E$62/30</f>
        <v>56833.8888888889</v>
      </c>
      <c r="E68" s="22" t="n">
        <f aca="false">-E29*Inputs!$E$62/30</f>
        <v>56833.8888888889</v>
      </c>
      <c r="F68" s="22" t="n">
        <f aca="false">-F29*Inputs!$E$62/30</f>
        <v>56833.8888888889</v>
      </c>
      <c r="G68" s="22" t="n">
        <f aca="false">-G29*Inputs!$E$62/30</f>
        <v>56833.8888888889</v>
      </c>
      <c r="H68" s="22" t="n">
        <f aca="false">-H29*Inputs!$E$62/30</f>
        <v>62877.7777777778</v>
      </c>
      <c r="I68" s="22" t="n">
        <f aca="false">-I29*Inputs!$E$62/30</f>
        <v>62877.7777777778</v>
      </c>
      <c r="J68" s="22" t="n">
        <f aca="false">-J29*Inputs!$E$62/30</f>
        <v>62877.7777777778</v>
      </c>
      <c r="K68" s="22" t="n">
        <f aca="false">-K29*Inputs!$E$62/30</f>
        <v>56833.8888888889</v>
      </c>
      <c r="L68" s="22" t="n">
        <f aca="false">-L29*Inputs!$E$62/30</f>
        <v>56833.8888888889</v>
      </c>
      <c r="M68" s="22" t="n">
        <f aca="false">-M29*Inputs!$E$62/30</f>
        <v>56833.8888888889</v>
      </c>
      <c r="N68" s="22" t="n">
        <f aca="false">-N29*Inputs!$E$62/30</f>
        <v>56833.8888888889</v>
      </c>
      <c r="O68" s="22" t="n">
        <f aca="false">-O29*Inputs!$E$62/30</f>
        <v>66181.5197222222</v>
      </c>
      <c r="P68" s="22" t="n">
        <f aca="false">-P29*Inputs!$E$62/30</f>
        <v>66181.5197222222</v>
      </c>
      <c r="Q68" s="22" t="n">
        <f aca="false">-Q29*Inputs!$E$62/30</f>
        <v>66181.5197222222</v>
      </c>
      <c r="R68" s="22" t="n">
        <f aca="false">-R29*Inputs!$E$62/30</f>
        <v>66181.5197222222</v>
      </c>
      <c r="S68" s="22" t="n">
        <f aca="false">-S29*Inputs!$E$62/30</f>
        <v>66181.5197222222</v>
      </c>
      <c r="T68" s="22" t="n">
        <f aca="false">-T29*Inputs!$E$62/30</f>
        <v>72507.7511111111</v>
      </c>
      <c r="U68" s="22" t="n">
        <f aca="false">-U29*Inputs!$E$62/30</f>
        <v>72507.7511111111</v>
      </c>
      <c r="V68" s="22" t="n">
        <f aca="false">-V29*Inputs!$E$62/30</f>
        <v>72507.7511111111</v>
      </c>
      <c r="W68" s="22" t="n">
        <f aca="false">-W29*Inputs!$E$62/30</f>
        <v>66181.5197222222</v>
      </c>
      <c r="X68" s="22" t="n">
        <f aca="false">-X29*Inputs!$E$62/30</f>
        <v>66181.5197222222</v>
      </c>
      <c r="Y68" s="22" t="n">
        <f aca="false">-Y29*Inputs!$E$62/30</f>
        <v>66181.5197222222</v>
      </c>
      <c r="Z68" s="22" t="n">
        <f aca="false">-Z29*Inputs!$E$62/30</f>
        <v>66181.5197222222</v>
      </c>
      <c r="AA68" s="22" t="n">
        <f aca="false">-AA29*Inputs!$E$62/30</f>
        <v>77101.1582896389</v>
      </c>
      <c r="AB68" s="22" t="n">
        <f aca="false">-AB29*Inputs!$E$62/30</f>
        <v>77101.1582896389</v>
      </c>
      <c r="AC68" s="22" t="n">
        <f aca="false">-AC29*Inputs!$E$62/30</f>
        <v>77101.1582896389</v>
      </c>
      <c r="AD68" s="22" t="n">
        <f aca="false">-AD29*Inputs!$E$62/30</f>
        <v>77101.1582896389</v>
      </c>
      <c r="AE68" s="22" t="n">
        <f aca="false">-AE29*Inputs!$E$62/30</f>
        <v>77101.1582896389</v>
      </c>
      <c r="AF68" s="22" t="n">
        <f aca="false">-AF29*Inputs!$E$62/30</f>
        <v>83633.9132017778</v>
      </c>
      <c r="AG68" s="22" t="n">
        <f aca="false">-AG29*Inputs!$E$62/30</f>
        <v>83633.9132017778</v>
      </c>
      <c r="AH68" s="22" t="n">
        <f aca="false">-AH29*Inputs!$E$62/30</f>
        <v>83633.9132017778</v>
      </c>
      <c r="AI68" s="22" t="n">
        <f aca="false">-AI29*Inputs!$E$62/30</f>
        <v>77101.1582896389</v>
      </c>
      <c r="AJ68" s="22" t="n">
        <f aca="false">-AJ29*Inputs!$E$62/30</f>
        <v>77101.1582896389</v>
      </c>
      <c r="AK68" s="22" t="n">
        <f aca="false">-AK29*Inputs!$E$62/30</f>
        <v>77101.1582896389</v>
      </c>
      <c r="AL68" s="22" t="n">
        <f aca="false">-AL29*Inputs!$E$62/30</f>
        <v>77101.1582896389</v>
      </c>
    </row>
    <row r="69" customFormat="false" ht="15" hidden="false" customHeight="false" outlineLevel="0" collapsed="false">
      <c r="A69" s="11" t="s">
        <v>196</v>
      </c>
      <c r="C69" s="22" t="n">
        <f aca="false">-C66</f>
        <v>-44478.8888888889</v>
      </c>
      <c r="D69" s="22" t="n">
        <f aca="false">C66-D66</f>
        <v>0</v>
      </c>
      <c r="E69" s="22" t="n">
        <f aca="false">D66-E66</f>
        <v>0</v>
      </c>
      <c r="F69" s="22" t="n">
        <f aca="false">E66-F66</f>
        <v>0</v>
      </c>
      <c r="G69" s="22" t="n">
        <f aca="false">F66-G66</f>
        <v>0</v>
      </c>
      <c r="H69" s="22" t="n">
        <f aca="false">G66-H66</f>
        <v>-12087.7777777778</v>
      </c>
      <c r="I69" s="22" t="n">
        <f aca="false">H66-I66</f>
        <v>0</v>
      </c>
      <c r="J69" s="22" t="n">
        <f aca="false">I66-J66</f>
        <v>0</v>
      </c>
      <c r="K69" s="22" t="n">
        <f aca="false">J66-K66</f>
        <v>12087.7777777778</v>
      </c>
      <c r="L69" s="22" t="n">
        <f aca="false">K66-L66</f>
        <v>0</v>
      </c>
      <c r="M69" s="22" t="n">
        <f aca="false">L66-M66</f>
        <v>0</v>
      </c>
      <c r="N69" s="22" t="n">
        <f aca="false">M66-N66</f>
        <v>0</v>
      </c>
      <c r="O69" s="22" t="n">
        <f aca="false">N66-O66</f>
        <v>-8343.68833333334</v>
      </c>
      <c r="P69" s="22" t="n">
        <f aca="false">O66-P66</f>
        <v>0</v>
      </c>
      <c r="Q69" s="22" t="n">
        <f aca="false">P66-Q66</f>
        <v>0</v>
      </c>
      <c r="R69" s="22" t="n">
        <f aca="false">Q66-R66</f>
        <v>0</v>
      </c>
      <c r="S69" s="22" t="n">
        <f aca="false">R66-S66</f>
        <v>0</v>
      </c>
      <c r="T69" s="22" t="n">
        <f aca="false">S66-T66</f>
        <v>-12652.4627777778</v>
      </c>
      <c r="U69" s="22" t="n">
        <f aca="false">T66-U66</f>
        <v>0</v>
      </c>
      <c r="V69" s="22" t="n">
        <f aca="false">U66-V66</f>
        <v>0</v>
      </c>
      <c r="W69" s="22" t="n">
        <f aca="false">V66-W66</f>
        <v>12652.4627777778</v>
      </c>
      <c r="X69" s="22" t="n">
        <f aca="false">W66-X66</f>
        <v>0</v>
      </c>
      <c r="Y69" s="22" t="n">
        <f aca="false">X66-Y66</f>
        <v>0</v>
      </c>
      <c r="Z69" s="22" t="n">
        <f aca="false">Y66-Z66</f>
        <v>0</v>
      </c>
      <c r="AA69" s="22" t="n">
        <f aca="false">Z66-AA66</f>
        <v>-9915.5094975</v>
      </c>
      <c r="AB69" s="22" t="n">
        <f aca="false">AA66-AB66</f>
        <v>0</v>
      </c>
      <c r="AC69" s="22" t="n">
        <f aca="false">AB66-AC66</f>
        <v>0</v>
      </c>
      <c r="AD69" s="22" t="n">
        <f aca="false">AC66-AD66</f>
        <v>0</v>
      </c>
      <c r="AE69" s="22" t="n">
        <f aca="false">AD66-AE66</f>
        <v>0</v>
      </c>
      <c r="AF69" s="22" t="n">
        <f aca="false">AE66-AF66</f>
        <v>-13065.5098242778</v>
      </c>
      <c r="AG69" s="22" t="n">
        <f aca="false">AF66-AG66</f>
        <v>0</v>
      </c>
      <c r="AH69" s="22" t="n">
        <f aca="false">AG66-AH66</f>
        <v>0</v>
      </c>
      <c r="AI69" s="22" t="n">
        <f aca="false">AH66-AI66</f>
        <v>13065.5098242778</v>
      </c>
      <c r="AJ69" s="22" t="n">
        <f aca="false">AI66-AJ66</f>
        <v>0</v>
      </c>
      <c r="AK69" s="22" t="n">
        <f aca="false">AJ66-AK66</f>
        <v>0</v>
      </c>
      <c r="AL69" s="22" t="n">
        <f aca="false">AK66-AL66</f>
        <v>0</v>
      </c>
    </row>
    <row r="70" customFormat="false" ht="15" hidden="false" customHeight="false" outlineLevel="0" collapsed="false">
      <c r="A70" s="11" t="s">
        <v>197</v>
      </c>
      <c r="C70" s="22" t="n">
        <f aca="false">-C67</f>
        <v>-14208.4722222222</v>
      </c>
      <c r="D70" s="22" t="n">
        <f aca="false">C67-D67</f>
        <v>0</v>
      </c>
      <c r="E70" s="22" t="n">
        <f aca="false">D67-E67</f>
        <v>0</v>
      </c>
      <c r="F70" s="22" t="n">
        <f aca="false">E67-F67</f>
        <v>0</v>
      </c>
      <c r="G70" s="22" t="n">
        <f aca="false">F67-G67</f>
        <v>0</v>
      </c>
      <c r="H70" s="22" t="n">
        <f aca="false">G67-H67</f>
        <v>-1510.97222222222</v>
      </c>
      <c r="I70" s="22" t="n">
        <f aca="false">H67-I67</f>
        <v>0</v>
      </c>
      <c r="J70" s="22" t="n">
        <f aca="false">I67-J67</f>
        <v>0</v>
      </c>
      <c r="K70" s="22" t="n">
        <f aca="false">J67-K67</f>
        <v>1510.97222222222</v>
      </c>
      <c r="L70" s="22" t="n">
        <f aca="false">K67-L67</f>
        <v>0</v>
      </c>
      <c r="M70" s="22" t="n">
        <f aca="false">L67-M67</f>
        <v>0</v>
      </c>
      <c r="N70" s="22" t="n">
        <f aca="false">M67-N67</f>
        <v>0</v>
      </c>
      <c r="O70" s="22" t="n">
        <f aca="false">N67-O67</f>
        <v>-2336.90770833333</v>
      </c>
      <c r="P70" s="22" t="n">
        <f aca="false">O67-P67</f>
        <v>0</v>
      </c>
      <c r="Q70" s="22" t="n">
        <f aca="false">P67-Q67</f>
        <v>0</v>
      </c>
      <c r="R70" s="22" t="n">
        <f aca="false">Q67-R67</f>
        <v>0</v>
      </c>
      <c r="S70" s="22" t="n">
        <f aca="false">R67-S67</f>
        <v>0</v>
      </c>
      <c r="T70" s="22" t="n">
        <f aca="false">S67-T67</f>
        <v>-1581.55784722222</v>
      </c>
      <c r="U70" s="22" t="n">
        <f aca="false">T67-U67</f>
        <v>0</v>
      </c>
      <c r="V70" s="22" t="n">
        <f aca="false">U67-V67</f>
        <v>0</v>
      </c>
      <c r="W70" s="22" t="n">
        <f aca="false">V67-W67</f>
        <v>1581.55784722222</v>
      </c>
      <c r="X70" s="22" t="n">
        <f aca="false">W67-X67</f>
        <v>0</v>
      </c>
      <c r="Y70" s="22" t="n">
        <f aca="false">X67-Y67</f>
        <v>0</v>
      </c>
      <c r="Z70" s="22" t="n">
        <f aca="false">Y67-Z67</f>
        <v>0</v>
      </c>
      <c r="AA70" s="22" t="n">
        <f aca="false">Z67-AA67</f>
        <v>-2729.90964185416</v>
      </c>
      <c r="AB70" s="22" t="n">
        <f aca="false">AA67-AB67</f>
        <v>0</v>
      </c>
      <c r="AC70" s="22" t="n">
        <f aca="false">AB67-AC67</f>
        <v>0</v>
      </c>
      <c r="AD70" s="22" t="n">
        <f aca="false">AC67-AD67</f>
        <v>0</v>
      </c>
      <c r="AE70" s="22" t="n">
        <f aca="false">AD67-AE67</f>
        <v>0</v>
      </c>
      <c r="AF70" s="22" t="n">
        <f aca="false">AE67-AF67</f>
        <v>-1633.18872803473</v>
      </c>
      <c r="AG70" s="22" t="n">
        <f aca="false">AF67-AG67</f>
        <v>0</v>
      </c>
      <c r="AH70" s="22" t="n">
        <f aca="false">AG67-AH67</f>
        <v>0</v>
      </c>
      <c r="AI70" s="22" t="n">
        <f aca="false">AH67-AI67</f>
        <v>1633.18872803473</v>
      </c>
      <c r="AJ70" s="22" t="n">
        <f aca="false">AI67-AJ67</f>
        <v>0</v>
      </c>
      <c r="AK70" s="22" t="n">
        <f aca="false">AJ67-AK67</f>
        <v>0</v>
      </c>
      <c r="AL70" s="22" t="n">
        <f aca="false">AK67-AL67</f>
        <v>0</v>
      </c>
    </row>
    <row r="71" customFormat="false" ht="15" hidden="false" customHeight="false" outlineLevel="0" collapsed="false">
      <c r="A71" s="11" t="s">
        <v>198</v>
      </c>
      <c r="C71" s="22" t="n">
        <f aca="false">C68</f>
        <v>56833.8888888889</v>
      </c>
      <c r="D71" s="22" t="n">
        <f aca="false">D68-C68</f>
        <v>0</v>
      </c>
      <c r="E71" s="22" t="n">
        <f aca="false">E68-D68</f>
        <v>0</v>
      </c>
      <c r="F71" s="22" t="n">
        <f aca="false">F68-E68</f>
        <v>0</v>
      </c>
      <c r="G71" s="22" t="n">
        <f aca="false">G68-F68</f>
        <v>0</v>
      </c>
      <c r="H71" s="22" t="n">
        <f aca="false">H68-G68</f>
        <v>6043.88888888888</v>
      </c>
      <c r="I71" s="22" t="n">
        <f aca="false">I68-H68</f>
        <v>0</v>
      </c>
      <c r="J71" s="22" t="n">
        <f aca="false">J68-I68</f>
        <v>0</v>
      </c>
      <c r="K71" s="22" t="n">
        <f aca="false">K68-J68</f>
        <v>-6043.88888888888</v>
      </c>
      <c r="L71" s="22" t="n">
        <f aca="false">L68-K68</f>
        <v>0</v>
      </c>
      <c r="M71" s="22" t="n">
        <f aca="false">M68-L68</f>
        <v>0</v>
      </c>
      <c r="N71" s="22" t="n">
        <f aca="false">N68-M68</f>
        <v>0</v>
      </c>
      <c r="O71" s="22" t="n">
        <f aca="false">O68-N68</f>
        <v>9347.63083333334</v>
      </c>
      <c r="P71" s="22" t="n">
        <f aca="false">P68-O68</f>
        <v>0</v>
      </c>
      <c r="Q71" s="22" t="n">
        <f aca="false">Q68-P68</f>
        <v>0</v>
      </c>
      <c r="R71" s="22" t="n">
        <f aca="false">R68-Q68</f>
        <v>0</v>
      </c>
      <c r="S71" s="22" t="n">
        <f aca="false">S68-R68</f>
        <v>0</v>
      </c>
      <c r="T71" s="22" t="n">
        <f aca="false">T68-S68</f>
        <v>6326.23138888889</v>
      </c>
      <c r="U71" s="22" t="n">
        <f aca="false">U68-T68</f>
        <v>0</v>
      </c>
      <c r="V71" s="22" t="n">
        <f aca="false">V68-U68</f>
        <v>0</v>
      </c>
      <c r="W71" s="22" t="n">
        <f aca="false">W68-V68</f>
        <v>-6326.23138888889</v>
      </c>
      <c r="X71" s="22" t="n">
        <f aca="false">X68-W68</f>
        <v>0</v>
      </c>
      <c r="Y71" s="22" t="n">
        <f aca="false">Y68-X68</f>
        <v>0</v>
      </c>
      <c r="Z71" s="22" t="n">
        <f aca="false">Z68-Y68</f>
        <v>0</v>
      </c>
      <c r="AA71" s="22" t="n">
        <f aca="false">AA68-Z68</f>
        <v>10919.6385674167</v>
      </c>
      <c r="AB71" s="22" t="n">
        <f aca="false">AB68-AA68</f>
        <v>0</v>
      </c>
      <c r="AC71" s="22" t="n">
        <f aca="false">AC68-AB68</f>
        <v>0</v>
      </c>
      <c r="AD71" s="22" t="n">
        <f aca="false">AD68-AC68</f>
        <v>0</v>
      </c>
      <c r="AE71" s="22" t="n">
        <f aca="false">AE68-AD68</f>
        <v>0</v>
      </c>
      <c r="AF71" s="22" t="n">
        <f aca="false">AF68-AE68</f>
        <v>6532.7549121389</v>
      </c>
      <c r="AG71" s="22" t="n">
        <f aca="false">AG68-AF68</f>
        <v>0</v>
      </c>
      <c r="AH71" s="22" t="n">
        <f aca="false">AH68-AG68</f>
        <v>0</v>
      </c>
      <c r="AI71" s="22" t="n">
        <f aca="false">AI68-AH68</f>
        <v>-6532.7549121389</v>
      </c>
      <c r="AJ71" s="22" t="n">
        <f aca="false">AJ68-AI68</f>
        <v>0</v>
      </c>
      <c r="AK71" s="22" t="n">
        <f aca="false">AK68-AJ68</f>
        <v>0</v>
      </c>
      <c r="AL71" s="22" t="n">
        <f aca="false">AL68-AK68</f>
        <v>0</v>
      </c>
    </row>
    <row r="73" customFormat="false" ht="15" hidden="false" customHeight="false" outlineLevel="0" collapsed="false">
      <c r="A73" s="7" t="s">
        <v>199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customFormat="false" ht="15" hidden="false" customHeight="false" outlineLevel="0" collapsed="false">
      <c r="A74" s="4" t="s">
        <v>200</v>
      </c>
      <c r="C74" s="15" t="n">
        <f aca="false">C50-C55+C69+C70+C71</f>
        <v>9238.11534444444</v>
      </c>
      <c r="D74" s="15" t="n">
        <f aca="false">D50-D55+D69+D70+D71</f>
        <v>11102.5597888889</v>
      </c>
      <c r="E74" s="15" t="n">
        <f aca="false">E50-E55+E69+E70+E71</f>
        <v>11124.5042333333</v>
      </c>
      <c r="F74" s="15" t="n">
        <f aca="false">F50-F55+F69+F70+F71</f>
        <v>11146.4486777778</v>
      </c>
      <c r="G74" s="15" t="n">
        <f aca="false">G50-G55+G69+G70+G71</f>
        <v>11168.3931222222</v>
      </c>
      <c r="H74" s="15" t="n">
        <f aca="false">H50-H55+H69+H70+H71</f>
        <v>24348.0045555555</v>
      </c>
      <c r="I74" s="15" t="n">
        <f aca="false">I50-I55+I69+I70+I71</f>
        <v>31924.8101111111</v>
      </c>
      <c r="J74" s="15" t="n">
        <f aca="false">J50-J55+J69+J70+J71</f>
        <v>31946.7545555556</v>
      </c>
      <c r="K74" s="15" t="n">
        <f aca="false">K50-K55+K69+K70+K71</f>
        <v>18811.0320111111</v>
      </c>
      <c r="L74" s="15" t="n">
        <f aca="false">L50-L55+L69+L70+L71</f>
        <v>11278.1153444444</v>
      </c>
      <c r="M74" s="15" t="n">
        <f aca="false">M50-M55+M69+M70+M71</f>
        <v>11300.0597888889</v>
      </c>
      <c r="N74" s="15" t="n">
        <f aca="false">N50-N55+N69+N70+N71</f>
        <v>11322.0042333333</v>
      </c>
      <c r="O74" s="15" t="n">
        <f aca="false">O50-O55+O69+O70+O71</f>
        <v>16254.6089154944</v>
      </c>
      <c r="P74" s="15" t="n">
        <f aca="false">P50-P55+P69+P70+P71</f>
        <v>17609.5185682722</v>
      </c>
      <c r="Q74" s="15" t="n">
        <f aca="false">Q50-Q55+Q69+Q70+Q71</f>
        <v>17631.4630127167</v>
      </c>
      <c r="R74" s="15" t="n">
        <f aca="false">R50-R55+R69+R70+R71</f>
        <v>17653.4074571611</v>
      </c>
      <c r="S74" s="15" t="n">
        <f aca="false">S50-S55+S69+S70+S71</f>
        <v>17675.3519016055</v>
      </c>
      <c r="T74" s="15" t="n">
        <f aca="false">T50-T55+T69+T70+T71</f>
        <v>31469.6286042889</v>
      </c>
      <c r="U74" s="15" t="n">
        <f aca="false">U50-U55+U69+U70+U71</f>
        <v>39399.3622848444</v>
      </c>
      <c r="V74" s="15" t="n">
        <f aca="false">V50-V55+V69+V70+V71</f>
        <v>39421.3067292889</v>
      </c>
      <c r="W74" s="15" t="n">
        <f aca="false">W50-W55+W69+W70+W71</f>
        <v>25670.9189154944</v>
      </c>
      <c r="X74" s="15" t="n">
        <f aca="false">X50-X55+X69+X70+X71</f>
        <v>17785.0741238278</v>
      </c>
      <c r="Y74" s="15" t="n">
        <f aca="false">Y50-Y55+Y69+Y70+Y71</f>
        <v>17807.0185682722</v>
      </c>
      <c r="Z74" s="15" t="n">
        <f aca="false">Z50-Z55+Z69+Z70+Z71</f>
        <v>17828.9630127167</v>
      </c>
      <c r="AA74" s="15" t="n">
        <f aca="false">AA50-AA55+AA69+AA70+AA71</f>
        <v>23856.3752254148</v>
      </c>
      <c r="AB74" s="15" t="n">
        <f aca="false">AB50-AB55+AB69+AB70+AB71</f>
        <v>25604.1002417968</v>
      </c>
      <c r="AC74" s="15" t="n">
        <f aca="false">AC50-AC55+AC69+AC70+AC71</f>
        <v>25626.0446862412</v>
      </c>
      <c r="AD74" s="15" t="n">
        <f aca="false">AD50-AD55+AD69+AD70+AD71</f>
        <v>25647.9891306857</v>
      </c>
      <c r="AE74" s="15" t="n">
        <f aca="false">AE50-AE55+AE69+AE70+AE71</f>
        <v>25669.9335751301</v>
      </c>
      <c r="AF74" s="15" t="n">
        <f aca="false">AF50-AF55+AF69+AF70+AF71</f>
        <v>39913.8161183992</v>
      </c>
      <c r="AG74" s="15" t="n">
        <f aca="false">AG50-AG55+AG69+AG70+AG71</f>
        <v>48101.7042030172</v>
      </c>
      <c r="AH74" s="15" t="n">
        <f aca="false">AH50-AH55+AH69+AH70+AH71</f>
        <v>48123.6486474617</v>
      </c>
      <c r="AI74" s="15" t="n">
        <f aca="false">AI50-AI55+AI69+AI70+AI71</f>
        <v>33923.6549930815</v>
      </c>
      <c r="AJ74" s="15" t="n">
        <f aca="false">AJ50-AJ55+AJ69+AJ70+AJ71</f>
        <v>25779.6557973523</v>
      </c>
      <c r="AK74" s="15" t="n">
        <f aca="false">AK50-AK55+AK69+AK70+AK71</f>
        <v>25801.6002417968</v>
      </c>
      <c r="AL74" s="15" t="n">
        <f aca="false">AL50-AL55+AL69+AL70+AL71</f>
        <v>25823.5446862412</v>
      </c>
    </row>
    <row r="75" customFormat="false" ht="15" hidden="false" customHeight="false" outlineLevel="0" collapsed="false">
      <c r="A75" s="11" t="s">
        <v>201</v>
      </c>
      <c r="C75" s="22" t="n">
        <f aca="false">-C53</f>
        <v>-20000</v>
      </c>
      <c r="D75" s="22" t="n">
        <f aca="false">-D53</f>
        <v>-0</v>
      </c>
      <c r="E75" s="22" t="n">
        <f aca="false">-E53</f>
        <v>-0</v>
      </c>
      <c r="F75" s="22" t="n">
        <f aca="false">-F53</f>
        <v>-0</v>
      </c>
      <c r="G75" s="22" t="n">
        <f aca="false">-G53</f>
        <v>-0</v>
      </c>
      <c r="H75" s="22" t="n">
        <f aca="false">-H53</f>
        <v>-0</v>
      </c>
      <c r="I75" s="22" t="n">
        <f aca="false">-I53</f>
        <v>-0</v>
      </c>
      <c r="J75" s="22" t="n">
        <f aca="false">-J53</f>
        <v>-0</v>
      </c>
      <c r="K75" s="22" t="n">
        <f aca="false">-K53</f>
        <v>-0</v>
      </c>
      <c r="L75" s="22" t="n">
        <f aca="false">-L53</f>
        <v>-0</v>
      </c>
      <c r="M75" s="22" t="n">
        <f aca="false">-M53</f>
        <v>-0</v>
      </c>
      <c r="N75" s="22" t="n">
        <f aca="false">-N53</f>
        <v>-0</v>
      </c>
      <c r="O75" s="22" t="n">
        <f aca="false">-O53</f>
        <v>-37800</v>
      </c>
      <c r="P75" s="22" t="n">
        <f aca="false">-P53</f>
        <v>-0</v>
      </c>
      <c r="Q75" s="22" t="n">
        <f aca="false">-Q53</f>
        <v>-0</v>
      </c>
      <c r="R75" s="22" t="n">
        <f aca="false">-R53</f>
        <v>-0</v>
      </c>
      <c r="S75" s="22" t="n">
        <f aca="false">-S53</f>
        <v>-0</v>
      </c>
      <c r="T75" s="22" t="n">
        <f aca="false">-T53</f>
        <v>-0</v>
      </c>
      <c r="U75" s="22" t="n">
        <f aca="false">-U53</f>
        <v>-0</v>
      </c>
      <c r="V75" s="22" t="n">
        <f aca="false">-V53</f>
        <v>-0</v>
      </c>
      <c r="W75" s="22" t="n">
        <f aca="false">-W53</f>
        <v>-0</v>
      </c>
      <c r="X75" s="22" t="n">
        <f aca="false">-X53</f>
        <v>-0</v>
      </c>
      <c r="Y75" s="22" t="n">
        <f aca="false">-Y53</f>
        <v>-0</v>
      </c>
      <c r="Z75" s="22" t="n">
        <f aca="false">-Z53</f>
        <v>-0</v>
      </c>
      <c r="AA75" s="22" t="n">
        <f aca="false">-AA53</f>
        <v>-42336</v>
      </c>
      <c r="AB75" s="22" t="n">
        <f aca="false">-AB53</f>
        <v>-0</v>
      </c>
      <c r="AC75" s="22" t="n">
        <f aca="false">-AC53</f>
        <v>-0</v>
      </c>
      <c r="AD75" s="22" t="n">
        <f aca="false">-AD53</f>
        <v>-0</v>
      </c>
      <c r="AE75" s="22" t="n">
        <f aca="false">-AE53</f>
        <v>-0</v>
      </c>
      <c r="AF75" s="22" t="n">
        <f aca="false">-AF53</f>
        <v>-0</v>
      </c>
      <c r="AG75" s="22" t="n">
        <f aca="false">-AG53</f>
        <v>-0</v>
      </c>
      <c r="AH75" s="22" t="n">
        <f aca="false">-AH53</f>
        <v>-0</v>
      </c>
      <c r="AI75" s="22" t="n">
        <f aca="false">-AI53</f>
        <v>-0</v>
      </c>
      <c r="AJ75" s="22" t="n">
        <f aca="false">-AJ53</f>
        <v>-0</v>
      </c>
      <c r="AK75" s="22" t="n">
        <f aca="false">-AK53</f>
        <v>-0</v>
      </c>
      <c r="AL75" s="22" t="n">
        <f aca="false">-AL53</f>
        <v>-0</v>
      </c>
    </row>
    <row r="76" customFormat="false" ht="15" hidden="false" customHeight="false" outlineLevel="0" collapsed="false">
      <c r="A76" s="11" t="s">
        <v>202</v>
      </c>
      <c r="C76" s="22" t="n">
        <f aca="false">IF(C$4=1,Inputs!$E$54,0)</f>
        <v>100000</v>
      </c>
      <c r="D76" s="22" t="n">
        <f aca="false">IF(D$4=1,Inputs!$E$54,0)</f>
        <v>0</v>
      </c>
      <c r="E76" s="22" t="n">
        <f aca="false">IF(E$4=1,Inputs!$E$54,0)</f>
        <v>0</v>
      </c>
      <c r="F76" s="22" t="n">
        <f aca="false">IF(F$4=1,Inputs!$E$54,0)</f>
        <v>0</v>
      </c>
      <c r="G76" s="22" t="n">
        <f aca="false">IF(G$4=1,Inputs!$E$54,0)</f>
        <v>0</v>
      </c>
      <c r="H76" s="22" t="n">
        <f aca="false">IF(H$4=1,Inputs!$E$54,0)</f>
        <v>0</v>
      </c>
      <c r="I76" s="22" t="n">
        <f aca="false">IF(I$4=1,Inputs!$E$54,0)</f>
        <v>0</v>
      </c>
      <c r="J76" s="22" t="n">
        <f aca="false">IF(J$4=1,Inputs!$E$54,0)</f>
        <v>0</v>
      </c>
      <c r="K76" s="22" t="n">
        <f aca="false">IF(K$4=1,Inputs!$E$54,0)</f>
        <v>0</v>
      </c>
      <c r="L76" s="22" t="n">
        <f aca="false">IF(L$4=1,Inputs!$E$54,0)</f>
        <v>0</v>
      </c>
      <c r="M76" s="22" t="n">
        <f aca="false">IF(M$4=1,Inputs!$E$54,0)</f>
        <v>0</v>
      </c>
      <c r="N76" s="22" t="n">
        <f aca="false">IF(N$4=1,Inputs!$E$54,0)</f>
        <v>0</v>
      </c>
      <c r="O76" s="22" t="n">
        <f aca="false">IF(O$4=1,Inputs!$E$54,0)</f>
        <v>0</v>
      </c>
      <c r="P76" s="22" t="n">
        <f aca="false">IF(P$4=1,Inputs!$E$54,0)</f>
        <v>0</v>
      </c>
      <c r="Q76" s="22" t="n">
        <f aca="false">IF(Q$4=1,Inputs!$E$54,0)</f>
        <v>0</v>
      </c>
      <c r="R76" s="22" t="n">
        <f aca="false">IF(R$4=1,Inputs!$E$54,0)</f>
        <v>0</v>
      </c>
      <c r="S76" s="22" t="n">
        <f aca="false">IF(S$4=1,Inputs!$E$54,0)</f>
        <v>0</v>
      </c>
      <c r="T76" s="22" t="n">
        <f aca="false">IF(T$4=1,Inputs!$E$54,0)</f>
        <v>0</v>
      </c>
      <c r="U76" s="22" t="n">
        <f aca="false">IF(U$4=1,Inputs!$E$54,0)</f>
        <v>0</v>
      </c>
      <c r="V76" s="22" t="n">
        <f aca="false">IF(V$4=1,Inputs!$E$54,0)</f>
        <v>0</v>
      </c>
      <c r="W76" s="22" t="n">
        <f aca="false">IF(W$4=1,Inputs!$E$54,0)</f>
        <v>0</v>
      </c>
      <c r="X76" s="22" t="n">
        <f aca="false">IF(X$4=1,Inputs!$E$54,0)</f>
        <v>0</v>
      </c>
      <c r="Y76" s="22" t="n">
        <f aca="false">IF(Y$4=1,Inputs!$E$54,0)</f>
        <v>0</v>
      </c>
      <c r="Z76" s="22" t="n">
        <f aca="false">IF(Z$4=1,Inputs!$E$54,0)</f>
        <v>0</v>
      </c>
      <c r="AA76" s="22" t="n">
        <f aca="false">IF(AA$4=1,Inputs!$E$54,0)</f>
        <v>0</v>
      </c>
      <c r="AB76" s="22" t="n">
        <f aca="false">IF(AB$4=1,Inputs!$E$54,0)</f>
        <v>0</v>
      </c>
      <c r="AC76" s="22" t="n">
        <f aca="false">IF(AC$4=1,Inputs!$E$54,0)</f>
        <v>0</v>
      </c>
      <c r="AD76" s="22" t="n">
        <f aca="false">IF(AD$4=1,Inputs!$E$54,0)</f>
        <v>0</v>
      </c>
      <c r="AE76" s="22" t="n">
        <f aca="false">IF(AE$4=1,Inputs!$E$54,0)</f>
        <v>0</v>
      </c>
      <c r="AF76" s="22" t="n">
        <f aca="false">IF(AF$4=1,Inputs!$E$54,0)</f>
        <v>0</v>
      </c>
      <c r="AG76" s="22" t="n">
        <f aca="false">IF(AG$4=1,Inputs!$E$54,0)</f>
        <v>0</v>
      </c>
      <c r="AH76" s="22" t="n">
        <f aca="false">IF(AH$4=1,Inputs!$E$54,0)</f>
        <v>0</v>
      </c>
      <c r="AI76" s="22" t="n">
        <f aca="false">IF(AI$4=1,Inputs!$E$54,0)</f>
        <v>0</v>
      </c>
      <c r="AJ76" s="22" t="n">
        <f aca="false">IF(AJ$4=1,Inputs!$E$54,0)</f>
        <v>0</v>
      </c>
      <c r="AK76" s="22" t="n">
        <f aca="false">IF(AK$4=1,Inputs!$E$54,0)</f>
        <v>0</v>
      </c>
      <c r="AL76" s="22" t="n">
        <f aca="false">IF(AL$4=1,Inputs!$E$54,0)</f>
        <v>0</v>
      </c>
    </row>
    <row r="77" customFormat="false" ht="15" hidden="false" customHeight="false" outlineLevel="0" collapsed="false">
      <c r="A77" s="11" t="s">
        <v>203</v>
      </c>
      <c r="C77" s="22" t="n">
        <f aca="false">C76+C61+C62</f>
        <v>350000</v>
      </c>
      <c r="D77" s="22" t="n">
        <f aca="false">D76+D61+D62</f>
        <v>-4166.66666666667</v>
      </c>
      <c r="E77" s="22" t="n">
        <f aca="false">E76+E61+E62</f>
        <v>-4166.66666666667</v>
      </c>
      <c r="F77" s="22" t="n">
        <f aca="false">F76+F61+F62</f>
        <v>-4166.66666666667</v>
      </c>
      <c r="G77" s="22" t="n">
        <f aca="false">G76+G61+G62</f>
        <v>-4166.66666666667</v>
      </c>
      <c r="H77" s="22" t="n">
        <f aca="false">H76+H61+H62</f>
        <v>-4166.66666666667</v>
      </c>
      <c r="I77" s="22" t="n">
        <f aca="false">I76+I61+I62</f>
        <v>-4166.66666666667</v>
      </c>
      <c r="J77" s="22" t="n">
        <f aca="false">J76+J61+J62</f>
        <v>-4166.66666666667</v>
      </c>
      <c r="K77" s="22" t="n">
        <f aca="false">K76+K61+K62</f>
        <v>-4166.66666666667</v>
      </c>
      <c r="L77" s="22" t="n">
        <f aca="false">L76+L61+L62</f>
        <v>-4166.66666666667</v>
      </c>
      <c r="M77" s="22" t="n">
        <f aca="false">M76+M61+M62</f>
        <v>-4166.66666666667</v>
      </c>
      <c r="N77" s="22" t="n">
        <f aca="false">N76+N61+N62</f>
        <v>-4166.66666666667</v>
      </c>
      <c r="O77" s="22" t="n">
        <f aca="false">O76+O61+O62</f>
        <v>-4166.66666666667</v>
      </c>
      <c r="P77" s="22" t="n">
        <f aca="false">P76+P61+P62</f>
        <v>-4166.66666666667</v>
      </c>
      <c r="Q77" s="22" t="n">
        <f aca="false">Q76+Q61+Q62</f>
        <v>-4166.66666666667</v>
      </c>
      <c r="R77" s="22" t="n">
        <f aca="false">R76+R61+R62</f>
        <v>-4166.66666666667</v>
      </c>
      <c r="S77" s="22" t="n">
        <f aca="false">S76+S61+S62</f>
        <v>-4166.66666666667</v>
      </c>
      <c r="T77" s="22" t="n">
        <f aca="false">T76+T61+T62</f>
        <v>-4166.66666666667</v>
      </c>
      <c r="U77" s="22" t="n">
        <f aca="false">U76+U61+U62</f>
        <v>-4166.66666666667</v>
      </c>
      <c r="V77" s="22" t="n">
        <f aca="false">V76+V61+V62</f>
        <v>-4166.66666666667</v>
      </c>
      <c r="W77" s="22" t="n">
        <f aca="false">W76+W61+W62</f>
        <v>-4166.66666666667</v>
      </c>
      <c r="X77" s="22" t="n">
        <f aca="false">X76+X61+X62</f>
        <v>-4166.66666666667</v>
      </c>
      <c r="Y77" s="22" t="n">
        <f aca="false">Y76+Y61+Y62</f>
        <v>-4166.66666666667</v>
      </c>
      <c r="Z77" s="22" t="n">
        <f aca="false">Z76+Z61+Z62</f>
        <v>-4166.66666666667</v>
      </c>
      <c r="AA77" s="22" t="n">
        <f aca="false">AA76+AA61+AA62</f>
        <v>-4166.66666666667</v>
      </c>
      <c r="AB77" s="22" t="n">
        <f aca="false">AB76+AB61+AB62</f>
        <v>-4166.66666666667</v>
      </c>
      <c r="AC77" s="22" t="n">
        <f aca="false">AC76+AC61+AC62</f>
        <v>-4166.66666666667</v>
      </c>
      <c r="AD77" s="22" t="n">
        <f aca="false">AD76+AD61+AD62</f>
        <v>-4166.66666666667</v>
      </c>
      <c r="AE77" s="22" t="n">
        <f aca="false">AE76+AE61+AE62</f>
        <v>-4166.66666666667</v>
      </c>
      <c r="AF77" s="22" t="n">
        <f aca="false">AF76+AF61+AF62</f>
        <v>-4166.66666666667</v>
      </c>
      <c r="AG77" s="22" t="n">
        <f aca="false">AG76+AG61+AG62</f>
        <v>-4166.66666666667</v>
      </c>
      <c r="AH77" s="22" t="n">
        <f aca="false">AH76+AH61+AH62</f>
        <v>-4166.66666666667</v>
      </c>
      <c r="AI77" s="22" t="n">
        <f aca="false">AI76+AI61+AI62</f>
        <v>-4166.66666666667</v>
      </c>
      <c r="AJ77" s="22" t="n">
        <f aca="false">AJ76+AJ61+AJ62</f>
        <v>-4166.66666666667</v>
      </c>
      <c r="AK77" s="22" t="n">
        <f aca="false">AK76+AK61+AK62</f>
        <v>-4166.66666666667</v>
      </c>
      <c r="AL77" s="22" t="n">
        <f aca="false">AL76+AL61+AL62</f>
        <v>-4166.66666666667</v>
      </c>
    </row>
    <row r="78" customFormat="false" ht="15" hidden="false" customHeight="false" outlineLevel="0" collapsed="false">
      <c r="A78" s="4" t="s">
        <v>204</v>
      </c>
      <c r="C78" s="35" t="n">
        <f aca="false">C74+C75+C77</f>
        <v>339238.115344444</v>
      </c>
      <c r="D78" s="35" t="n">
        <f aca="false">D74+D75+D77</f>
        <v>6935.89312222222</v>
      </c>
      <c r="E78" s="35" t="n">
        <f aca="false">E74+E75+E77</f>
        <v>6957.83756666666</v>
      </c>
      <c r="F78" s="35" t="n">
        <f aca="false">F74+F75+F77</f>
        <v>6979.78201111111</v>
      </c>
      <c r="G78" s="35" t="n">
        <f aca="false">G74+G75+G77</f>
        <v>7001.72645555555</v>
      </c>
      <c r="H78" s="35" t="n">
        <f aca="false">H74+H75+H77</f>
        <v>20181.3378888889</v>
      </c>
      <c r="I78" s="35" t="n">
        <f aca="false">I74+I75+I77</f>
        <v>27758.1434444445</v>
      </c>
      <c r="J78" s="35" t="n">
        <f aca="false">J74+J75+J77</f>
        <v>27780.0878888889</v>
      </c>
      <c r="K78" s="35" t="n">
        <f aca="false">K74+K75+K77</f>
        <v>14644.3653444444</v>
      </c>
      <c r="L78" s="35" t="n">
        <f aca="false">L74+L75+L77</f>
        <v>7111.44867777777</v>
      </c>
      <c r="M78" s="35" t="n">
        <f aca="false">M74+M75+M77</f>
        <v>7133.39312222222</v>
      </c>
      <c r="N78" s="35" t="n">
        <f aca="false">N74+N75+N77</f>
        <v>7155.33756666666</v>
      </c>
      <c r="O78" s="35" t="n">
        <f aca="false">O74+O75+O77</f>
        <v>-25712.0577511723</v>
      </c>
      <c r="P78" s="35" t="n">
        <f aca="false">P74+P75+P77</f>
        <v>13442.8519016055</v>
      </c>
      <c r="Q78" s="35" t="n">
        <f aca="false">Q74+Q75+Q77</f>
        <v>13464.79634605</v>
      </c>
      <c r="R78" s="35" t="n">
        <f aca="false">R74+R75+R77</f>
        <v>13486.7407904944</v>
      </c>
      <c r="S78" s="35" t="n">
        <f aca="false">S74+S75+S77</f>
        <v>13508.6852349389</v>
      </c>
      <c r="T78" s="35" t="n">
        <f aca="false">T74+T75+T77</f>
        <v>27302.9619376222</v>
      </c>
      <c r="U78" s="35" t="n">
        <f aca="false">U74+U75+U77</f>
        <v>35232.6956181778</v>
      </c>
      <c r="V78" s="35" t="n">
        <f aca="false">V74+V75+V77</f>
        <v>35254.6400626222</v>
      </c>
      <c r="W78" s="35" t="n">
        <f aca="false">W74+W75+W77</f>
        <v>21504.2522488278</v>
      </c>
      <c r="X78" s="35" t="n">
        <f aca="false">X74+X75+X77</f>
        <v>13618.4074571611</v>
      </c>
      <c r="Y78" s="35" t="n">
        <f aca="false">Y74+Y75+Y77</f>
        <v>13640.3519016055</v>
      </c>
      <c r="Z78" s="35" t="n">
        <f aca="false">Z74+Z75+Z77</f>
        <v>13662.29634605</v>
      </c>
      <c r="AA78" s="35" t="n">
        <f aca="false">AA74+AA75+AA77</f>
        <v>-22646.2914412519</v>
      </c>
      <c r="AB78" s="35" t="n">
        <f aca="false">AB74+AB75+AB77</f>
        <v>21437.4335751301</v>
      </c>
      <c r="AC78" s="35" t="n">
        <f aca="false">AC74+AC75+AC77</f>
        <v>21459.3780195745</v>
      </c>
      <c r="AD78" s="35" t="n">
        <f aca="false">AD74+AD75+AD77</f>
        <v>21481.322464019</v>
      </c>
      <c r="AE78" s="35" t="n">
        <f aca="false">AE74+AE75+AE77</f>
        <v>21503.2669084634</v>
      </c>
      <c r="AF78" s="35" t="n">
        <f aca="false">AF74+AF75+AF77</f>
        <v>35747.1494517325</v>
      </c>
      <c r="AG78" s="35" t="n">
        <f aca="false">AG74+AG75+AG77</f>
        <v>43935.0375363505</v>
      </c>
      <c r="AH78" s="35" t="n">
        <f aca="false">AH74+AH75+AH77</f>
        <v>43956.981980795</v>
      </c>
      <c r="AI78" s="35" t="n">
        <f aca="false">AI74+AI75+AI77</f>
        <v>29756.9883264148</v>
      </c>
      <c r="AJ78" s="35" t="n">
        <f aca="false">AJ74+AJ75+AJ77</f>
        <v>21612.9891306856</v>
      </c>
      <c r="AK78" s="35" t="n">
        <f aca="false">AK74+AK75+AK77</f>
        <v>21634.9335751301</v>
      </c>
      <c r="AL78" s="35" t="n">
        <f aca="false">AL74+AL75+AL77</f>
        <v>21656.8780195745</v>
      </c>
    </row>
    <row r="79" customFormat="false" ht="15" hidden="false" customHeight="false" outlineLevel="0" collapsed="false">
      <c r="A79" s="11" t="s">
        <v>205</v>
      </c>
      <c r="C79" s="22" t="n">
        <f aca="false">0</f>
        <v>0</v>
      </c>
      <c r="D79" s="22" t="n">
        <f aca="false">C80</f>
        <v>339238.115344444</v>
      </c>
      <c r="E79" s="22" t="n">
        <f aca="false">D80</f>
        <v>346174.008466667</v>
      </c>
      <c r="F79" s="22" t="n">
        <f aca="false">E80</f>
        <v>353131.846033333</v>
      </c>
      <c r="G79" s="22" t="n">
        <f aca="false">F80</f>
        <v>360111.628044444</v>
      </c>
      <c r="H79" s="22" t="n">
        <f aca="false">G80</f>
        <v>367113.3545</v>
      </c>
      <c r="I79" s="22" t="n">
        <f aca="false">H80</f>
        <v>387294.692388889</v>
      </c>
      <c r="J79" s="22" t="n">
        <f aca="false">I80</f>
        <v>415052.835833333</v>
      </c>
      <c r="K79" s="22" t="n">
        <f aca="false">J80</f>
        <v>442832.923722222</v>
      </c>
      <c r="L79" s="22" t="n">
        <f aca="false">K80</f>
        <v>457477.289066667</v>
      </c>
      <c r="M79" s="22" t="n">
        <f aca="false">L80</f>
        <v>464588.737744444</v>
      </c>
      <c r="N79" s="22" t="n">
        <f aca="false">M80</f>
        <v>471722.130866667</v>
      </c>
      <c r="O79" s="22" t="n">
        <f aca="false">N80</f>
        <v>478877.468433333</v>
      </c>
      <c r="P79" s="22" t="n">
        <f aca="false">O80</f>
        <v>453165.410682161</v>
      </c>
      <c r="Q79" s="22" t="n">
        <f aca="false">P80</f>
        <v>466608.262583767</v>
      </c>
      <c r="R79" s="22" t="n">
        <f aca="false">Q80</f>
        <v>480073.058929817</v>
      </c>
      <c r="S79" s="22" t="n">
        <f aca="false">R80</f>
        <v>493559.799720311</v>
      </c>
      <c r="T79" s="22" t="n">
        <f aca="false">S80</f>
        <v>507068.48495525</v>
      </c>
      <c r="U79" s="22" t="n">
        <f aca="false">T80</f>
        <v>534371.446892872</v>
      </c>
      <c r="V79" s="22" t="n">
        <f aca="false">U80</f>
        <v>569604.14251105</v>
      </c>
      <c r="W79" s="22" t="n">
        <f aca="false">V80</f>
        <v>604858.782573672</v>
      </c>
      <c r="X79" s="22" t="n">
        <f aca="false">W80</f>
        <v>626363.0348225</v>
      </c>
      <c r="Y79" s="22" t="n">
        <f aca="false">X80</f>
        <v>639981.442279661</v>
      </c>
      <c r="Z79" s="22" t="n">
        <f aca="false">Y80</f>
        <v>653621.794181267</v>
      </c>
      <c r="AA79" s="22" t="n">
        <f aca="false">Z80</f>
        <v>667284.090527316</v>
      </c>
      <c r="AB79" s="22" t="n">
        <f aca="false">AA80</f>
        <v>644637.799086065</v>
      </c>
      <c r="AC79" s="22" t="n">
        <f aca="false">AB80</f>
        <v>666075.232661195</v>
      </c>
      <c r="AD79" s="22" t="n">
        <f aca="false">AC80</f>
        <v>687534.610680769</v>
      </c>
      <c r="AE79" s="22" t="n">
        <f aca="false">AD80</f>
        <v>709015.933144788</v>
      </c>
      <c r="AF79" s="22" t="n">
        <f aca="false">AE80</f>
        <v>730519.200053252</v>
      </c>
      <c r="AG79" s="22" t="n">
        <f aca="false">AF80</f>
        <v>766266.349504984</v>
      </c>
      <c r="AH79" s="22" t="n">
        <f aca="false">AG80</f>
        <v>810201.387041335</v>
      </c>
      <c r="AI79" s="22" t="n">
        <f aca="false">AH80</f>
        <v>854158.36902213</v>
      </c>
      <c r="AJ79" s="22" t="n">
        <f aca="false">AI80</f>
        <v>883915.357348545</v>
      </c>
      <c r="AK79" s="22" t="n">
        <f aca="false">AJ80</f>
        <v>905528.34647923</v>
      </c>
      <c r="AL79" s="22" t="n">
        <f aca="false">AK80</f>
        <v>927163.28005436</v>
      </c>
    </row>
    <row r="80" customFormat="false" ht="15" hidden="false" customHeight="false" outlineLevel="0" collapsed="false">
      <c r="A80" s="4" t="s">
        <v>206</v>
      </c>
      <c r="C80" s="35" t="n">
        <f aca="false">C79+C78</f>
        <v>339238.115344444</v>
      </c>
      <c r="D80" s="35" t="n">
        <f aca="false">D79+D78</f>
        <v>346174.008466667</v>
      </c>
      <c r="E80" s="35" t="n">
        <f aca="false">E79+E78</f>
        <v>353131.846033333</v>
      </c>
      <c r="F80" s="35" t="n">
        <f aca="false">F79+F78</f>
        <v>360111.628044444</v>
      </c>
      <c r="G80" s="35" t="n">
        <f aca="false">G79+G78</f>
        <v>367113.3545</v>
      </c>
      <c r="H80" s="35" t="n">
        <f aca="false">H79+H78</f>
        <v>387294.692388889</v>
      </c>
      <c r="I80" s="35" t="n">
        <f aca="false">I79+I78</f>
        <v>415052.835833333</v>
      </c>
      <c r="J80" s="35" t="n">
        <f aca="false">J79+J78</f>
        <v>442832.923722222</v>
      </c>
      <c r="K80" s="35" t="n">
        <f aca="false">K79+K78</f>
        <v>457477.289066667</v>
      </c>
      <c r="L80" s="35" t="n">
        <f aca="false">L79+L78</f>
        <v>464588.737744444</v>
      </c>
      <c r="M80" s="35" t="n">
        <f aca="false">M79+M78</f>
        <v>471722.130866667</v>
      </c>
      <c r="N80" s="35" t="n">
        <f aca="false">N79+N78</f>
        <v>478877.468433333</v>
      </c>
      <c r="O80" s="35" t="n">
        <f aca="false">O79+O78</f>
        <v>453165.410682161</v>
      </c>
      <c r="P80" s="35" t="n">
        <f aca="false">P79+P78</f>
        <v>466608.262583767</v>
      </c>
      <c r="Q80" s="35" t="n">
        <f aca="false">Q79+Q78</f>
        <v>480073.058929817</v>
      </c>
      <c r="R80" s="35" t="n">
        <f aca="false">R79+R78</f>
        <v>493559.799720311</v>
      </c>
      <c r="S80" s="35" t="n">
        <f aca="false">S79+S78</f>
        <v>507068.48495525</v>
      </c>
      <c r="T80" s="35" t="n">
        <f aca="false">T79+T78</f>
        <v>534371.446892872</v>
      </c>
      <c r="U80" s="35" t="n">
        <f aca="false">U79+U78</f>
        <v>569604.14251105</v>
      </c>
      <c r="V80" s="35" t="n">
        <f aca="false">V79+V78</f>
        <v>604858.782573672</v>
      </c>
      <c r="W80" s="35" t="n">
        <f aca="false">W79+W78</f>
        <v>626363.0348225</v>
      </c>
      <c r="X80" s="35" t="n">
        <f aca="false">X79+X78</f>
        <v>639981.442279661</v>
      </c>
      <c r="Y80" s="35" t="n">
        <f aca="false">Y79+Y78</f>
        <v>653621.794181267</v>
      </c>
      <c r="Z80" s="35" t="n">
        <f aca="false">Z79+Z78</f>
        <v>667284.090527316</v>
      </c>
      <c r="AA80" s="35" t="n">
        <f aca="false">AA79+AA78</f>
        <v>644637.799086065</v>
      </c>
      <c r="AB80" s="35" t="n">
        <f aca="false">AB79+AB78</f>
        <v>666075.232661195</v>
      </c>
      <c r="AC80" s="35" t="n">
        <f aca="false">AC79+AC78</f>
        <v>687534.610680769</v>
      </c>
      <c r="AD80" s="35" t="n">
        <f aca="false">AD79+AD78</f>
        <v>709015.933144788</v>
      </c>
      <c r="AE80" s="35" t="n">
        <f aca="false">AE79+AE78</f>
        <v>730519.200053252</v>
      </c>
      <c r="AF80" s="35" t="n">
        <f aca="false">AF79+AF78</f>
        <v>766266.349504984</v>
      </c>
      <c r="AG80" s="35" t="n">
        <f aca="false">AG79+AG78</f>
        <v>810201.387041335</v>
      </c>
      <c r="AH80" s="35" t="n">
        <f aca="false">AH79+AH78</f>
        <v>854158.36902213</v>
      </c>
      <c r="AI80" s="35" t="n">
        <f aca="false">AI79+AI78</f>
        <v>883915.357348545</v>
      </c>
      <c r="AJ80" s="35" t="n">
        <f aca="false">AJ79+AJ78</f>
        <v>905528.34647923</v>
      </c>
      <c r="AK80" s="35" t="n">
        <f aca="false">AK79+AK78</f>
        <v>927163.28005436</v>
      </c>
      <c r="AL80" s="35" t="n">
        <f aca="false">AL79+AL78</f>
        <v>948820.158073935</v>
      </c>
    </row>
    <row r="81" customFormat="false" ht="15" hidden="false" customHeight="false" outlineLevel="0" collapsed="false">
      <c r="A81" s="17" t="s">
        <v>207</v>
      </c>
      <c r="C81" s="19" t="n">
        <f aca="false">IF(C41&gt;0,1,0)</f>
        <v>1</v>
      </c>
      <c r="D81" s="19" t="n">
        <f aca="false">IF(D41&gt;0,1,0)</f>
        <v>1</v>
      </c>
      <c r="E81" s="19" t="n">
        <f aca="false">IF(E41&gt;0,1,0)</f>
        <v>1</v>
      </c>
      <c r="F81" s="19" t="n">
        <f aca="false">IF(F41&gt;0,1,0)</f>
        <v>1</v>
      </c>
      <c r="G81" s="19" t="n">
        <f aca="false">IF(G41&gt;0,1,0)</f>
        <v>1</v>
      </c>
      <c r="H81" s="19" t="n">
        <f aca="false">IF(H41&gt;0,1,0)</f>
        <v>1</v>
      </c>
      <c r="I81" s="19" t="n">
        <f aca="false">IF(I41&gt;0,1,0)</f>
        <v>1</v>
      </c>
      <c r="J81" s="19" t="n">
        <f aca="false">IF(J41&gt;0,1,0)</f>
        <v>1</v>
      </c>
      <c r="K81" s="19" t="n">
        <f aca="false">IF(K41&gt;0,1,0)</f>
        <v>1</v>
      </c>
      <c r="L81" s="19" t="n">
        <f aca="false">IF(L41&gt;0,1,0)</f>
        <v>1</v>
      </c>
      <c r="M81" s="19" t="n">
        <f aca="false">IF(M41&gt;0,1,0)</f>
        <v>1</v>
      </c>
      <c r="N81" s="19" t="n">
        <f aca="false">IF(N41&gt;0,1,0)</f>
        <v>1</v>
      </c>
      <c r="O81" s="19" t="n">
        <f aca="false">IF(O41&gt;0,1,0)</f>
        <v>1</v>
      </c>
      <c r="P81" s="19" t="n">
        <f aca="false">IF(P41&gt;0,1,0)</f>
        <v>1</v>
      </c>
      <c r="Q81" s="19" t="n">
        <f aca="false">IF(Q41&gt;0,1,0)</f>
        <v>1</v>
      </c>
      <c r="R81" s="19" t="n">
        <f aca="false">IF(R41&gt;0,1,0)</f>
        <v>1</v>
      </c>
      <c r="S81" s="19" t="n">
        <f aca="false">IF(S41&gt;0,1,0)</f>
        <v>1</v>
      </c>
      <c r="T81" s="19" t="n">
        <f aca="false">IF(T41&gt;0,1,0)</f>
        <v>1</v>
      </c>
      <c r="U81" s="19" t="n">
        <f aca="false">IF(U41&gt;0,1,0)</f>
        <v>1</v>
      </c>
      <c r="V81" s="19" t="n">
        <f aca="false">IF(V41&gt;0,1,0)</f>
        <v>1</v>
      </c>
      <c r="W81" s="19" t="n">
        <f aca="false">IF(W41&gt;0,1,0)</f>
        <v>1</v>
      </c>
      <c r="X81" s="19" t="n">
        <f aca="false">IF(X41&gt;0,1,0)</f>
        <v>1</v>
      </c>
      <c r="Y81" s="19" t="n">
        <f aca="false">IF(Y41&gt;0,1,0)</f>
        <v>1</v>
      </c>
      <c r="Z81" s="19" t="n">
        <f aca="false">IF(Z41&gt;0,1,0)</f>
        <v>1</v>
      </c>
      <c r="AA81" s="19" t="n">
        <f aca="false">IF(AA41&gt;0,1,0)</f>
        <v>1</v>
      </c>
      <c r="AB81" s="19" t="n">
        <f aca="false">IF(AB41&gt;0,1,0)</f>
        <v>1</v>
      </c>
      <c r="AC81" s="19" t="n">
        <f aca="false">IF(AC41&gt;0,1,0)</f>
        <v>1</v>
      </c>
      <c r="AD81" s="19" t="n">
        <f aca="false">IF(AD41&gt;0,1,0)</f>
        <v>1</v>
      </c>
      <c r="AE81" s="19" t="n">
        <f aca="false">IF(AE41&gt;0,1,0)</f>
        <v>1</v>
      </c>
      <c r="AF81" s="19" t="n">
        <f aca="false">IF(AF41&gt;0,1,0)</f>
        <v>1</v>
      </c>
      <c r="AG81" s="19" t="n">
        <f aca="false">IF(AG41&gt;0,1,0)</f>
        <v>1</v>
      </c>
      <c r="AH81" s="19" t="n">
        <f aca="false">IF(AH41&gt;0,1,0)</f>
        <v>1</v>
      </c>
      <c r="AI81" s="19" t="n">
        <f aca="false">IF(AI41&gt;0,1,0)</f>
        <v>1</v>
      </c>
      <c r="AJ81" s="19" t="n">
        <f aca="false">IF(AJ41&gt;0,1,0)</f>
        <v>1</v>
      </c>
      <c r="AK81" s="19" t="n">
        <f aca="false">IF(AK41&gt;0,1,0)</f>
        <v>1</v>
      </c>
      <c r="AL81" s="19" t="n">
        <f aca="false">IF(AL41&gt;0,1,0)</f>
        <v>1</v>
      </c>
    </row>
    <row r="83" customFormat="false" ht="15" hidden="false" customHeight="false" outlineLevel="0" collapsed="false">
      <c r="A83" s="7" t="s">
        <v>208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customFormat="false" ht="15" hidden="false" customHeight="false" outlineLevel="0" collapsed="false">
      <c r="A84" s="11" t="s">
        <v>209</v>
      </c>
      <c r="C84" s="22" t="n">
        <f aca="false">C76</f>
        <v>100000</v>
      </c>
      <c r="D84" s="22" t="n">
        <f aca="false">C84+D76</f>
        <v>100000</v>
      </c>
      <c r="E84" s="22" t="n">
        <f aca="false">D84+E76</f>
        <v>100000</v>
      </c>
      <c r="F84" s="22" t="n">
        <f aca="false">E84+F76</f>
        <v>100000</v>
      </c>
      <c r="G84" s="22" t="n">
        <f aca="false">F84+G76</f>
        <v>100000</v>
      </c>
      <c r="H84" s="22" t="n">
        <f aca="false">G84+H76</f>
        <v>100000</v>
      </c>
      <c r="I84" s="22" t="n">
        <f aca="false">H84+I76</f>
        <v>100000</v>
      </c>
      <c r="J84" s="22" t="n">
        <f aca="false">I84+J76</f>
        <v>100000</v>
      </c>
      <c r="K84" s="22" t="n">
        <f aca="false">J84+K76</f>
        <v>100000</v>
      </c>
      <c r="L84" s="22" t="n">
        <f aca="false">K84+L76</f>
        <v>100000</v>
      </c>
      <c r="M84" s="22" t="n">
        <f aca="false">L84+M76</f>
        <v>100000</v>
      </c>
      <c r="N84" s="22" t="n">
        <f aca="false">M84+N76</f>
        <v>100000</v>
      </c>
      <c r="O84" s="22" t="n">
        <f aca="false">N84+O76</f>
        <v>100000</v>
      </c>
      <c r="P84" s="22" t="n">
        <f aca="false">O84+P76</f>
        <v>100000</v>
      </c>
      <c r="Q84" s="22" t="n">
        <f aca="false">P84+Q76</f>
        <v>100000</v>
      </c>
      <c r="R84" s="22" t="n">
        <f aca="false">Q84+R76</f>
        <v>100000</v>
      </c>
      <c r="S84" s="22" t="n">
        <f aca="false">R84+S76</f>
        <v>100000</v>
      </c>
      <c r="T84" s="22" t="n">
        <f aca="false">S84+T76</f>
        <v>100000</v>
      </c>
      <c r="U84" s="22" t="n">
        <f aca="false">T84+U76</f>
        <v>100000</v>
      </c>
      <c r="V84" s="22" t="n">
        <f aca="false">U84+V76</f>
        <v>100000</v>
      </c>
      <c r="W84" s="22" t="n">
        <f aca="false">V84+W76</f>
        <v>100000</v>
      </c>
      <c r="X84" s="22" t="n">
        <f aca="false">W84+X76</f>
        <v>100000</v>
      </c>
      <c r="Y84" s="22" t="n">
        <f aca="false">X84+Y76</f>
        <v>100000</v>
      </c>
      <c r="Z84" s="22" t="n">
        <f aca="false">Y84+Z76</f>
        <v>100000</v>
      </c>
      <c r="AA84" s="22" t="n">
        <f aca="false">Z84+AA76</f>
        <v>100000</v>
      </c>
      <c r="AB84" s="22" t="n">
        <f aca="false">AA84+AB76</f>
        <v>100000</v>
      </c>
      <c r="AC84" s="22" t="n">
        <f aca="false">AB84+AC76</f>
        <v>100000</v>
      </c>
      <c r="AD84" s="22" t="n">
        <f aca="false">AC84+AD76</f>
        <v>100000</v>
      </c>
      <c r="AE84" s="22" t="n">
        <f aca="false">AD84+AE76</f>
        <v>100000</v>
      </c>
      <c r="AF84" s="22" t="n">
        <f aca="false">AE84+AF76</f>
        <v>100000</v>
      </c>
      <c r="AG84" s="22" t="n">
        <f aca="false">AF84+AG76</f>
        <v>100000</v>
      </c>
      <c r="AH84" s="22" t="n">
        <f aca="false">AG84+AH76</f>
        <v>100000</v>
      </c>
      <c r="AI84" s="22" t="n">
        <f aca="false">AH84+AI76</f>
        <v>100000</v>
      </c>
      <c r="AJ84" s="22" t="n">
        <f aca="false">AI84+AJ76</f>
        <v>100000</v>
      </c>
      <c r="AK84" s="22" t="n">
        <f aca="false">AJ84+AK76</f>
        <v>100000</v>
      </c>
      <c r="AL84" s="22" t="n">
        <f aca="false">AK84+AL76</f>
        <v>100000</v>
      </c>
    </row>
    <row r="85" customFormat="false" ht="15" hidden="false" customHeight="false" outlineLevel="0" collapsed="false">
      <c r="A85" s="11" t="s">
        <v>210</v>
      </c>
      <c r="C85" s="22" t="n">
        <f aca="false">C50</f>
        <v>10758.2542333333</v>
      </c>
      <c r="D85" s="22" t="n">
        <f aca="false">C85+D50</f>
        <v>21527.4806888889</v>
      </c>
      <c r="E85" s="22" t="n">
        <f aca="false">D85+E50</f>
        <v>32318.6515888889</v>
      </c>
      <c r="F85" s="22" t="n">
        <f aca="false">E85+F50</f>
        <v>43131.7669333333</v>
      </c>
      <c r="G85" s="22" t="n">
        <f aca="false">F85+G50</f>
        <v>53966.8267222222</v>
      </c>
      <c r="H85" s="22" t="n">
        <f aca="false">G85+H50</f>
        <v>85536.3590555555</v>
      </c>
      <c r="I85" s="22" t="n">
        <f aca="false">H85+I50</f>
        <v>117127.835833333</v>
      </c>
      <c r="J85" s="22" t="n">
        <f aca="false">I85+J50</f>
        <v>148741.257055556</v>
      </c>
      <c r="K85" s="22" t="n">
        <f aca="false">J85+K50</f>
        <v>159664.094622222</v>
      </c>
      <c r="L85" s="22" t="n">
        <f aca="false">K85+L50</f>
        <v>170608.876633333</v>
      </c>
      <c r="M85" s="22" t="n">
        <f aca="false">L85+M50</f>
        <v>181575.603088889</v>
      </c>
      <c r="N85" s="22" t="n">
        <f aca="false">M85+N50</f>
        <v>192564.273988889</v>
      </c>
      <c r="O85" s="22" t="n">
        <f aca="false">N85+O50</f>
        <v>209188.514779383</v>
      </c>
      <c r="P85" s="22" t="n">
        <f aca="false">O85+P50</f>
        <v>225834.700014322</v>
      </c>
      <c r="Q85" s="22" t="n">
        <f aca="false">P85+Q50</f>
        <v>242502.829693705</v>
      </c>
      <c r="R85" s="22" t="n">
        <f aca="false">Q85+R50</f>
        <v>259192.903817533</v>
      </c>
      <c r="S85" s="22" t="n">
        <f aca="false">R85+S50</f>
        <v>275904.922385805</v>
      </c>
      <c r="T85" s="22" t="n">
        <f aca="false">S85+T50</f>
        <v>314319.006892872</v>
      </c>
      <c r="U85" s="22" t="n">
        <f aca="false">T85+U50</f>
        <v>352755.035844383</v>
      </c>
      <c r="V85" s="22" t="n">
        <f aca="false">U85+V50</f>
        <v>391213.009240339</v>
      </c>
      <c r="W85" s="22" t="n">
        <f aca="false">V85+W50</f>
        <v>408012.805586389</v>
      </c>
      <c r="X85" s="22" t="n">
        <f aca="false">W85+X50</f>
        <v>424834.546376883</v>
      </c>
      <c r="Y85" s="22" t="n">
        <f aca="false">X85+Y50</f>
        <v>441678.231611822</v>
      </c>
      <c r="Z85" s="22" t="n">
        <f aca="false">Y85+Z50</f>
        <v>458543.861291206</v>
      </c>
      <c r="AA85" s="22" t="n">
        <f aca="false">Z85+AA50</f>
        <v>482457.083755225</v>
      </c>
      <c r="AB85" s="22" t="n">
        <f aca="false">AA85+AB50</f>
        <v>506392.250663688</v>
      </c>
      <c r="AC85" s="22" t="n">
        <f aca="false">AB85+AC50</f>
        <v>530349.362016596</v>
      </c>
      <c r="AD85" s="22" t="n">
        <f aca="false">AC85+AD50</f>
        <v>554328.417813948</v>
      </c>
      <c r="AE85" s="22" t="n">
        <f aca="false">AD85+AE50</f>
        <v>578329.418055745</v>
      </c>
      <c r="AF85" s="22" t="n">
        <f aca="false">AE85+AF50</f>
        <v>624740.244480984</v>
      </c>
      <c r="AG85" s="22" t="n">
        <f aca="false">AF85+AG50</f>
        <v>671173.015350668</v>
      </c>
      <c r="AH85" s="22" t="n">
        <f aca="false">AG85+AH50</f>
        <v>717627.730664796</v>
      </c>
      <c r="AI85" s="22" t="n">
        <f aca="false">AH85+AI50</f>
        <v>741716.508684371</v>
      </c>
      <c r="AJ85" s="22" t="n">
        <f aca="false">AI85+AJ50</f>
        <v>765827.23114839</v>
      </c>
      <c r="AK85" s="22" t="n">
        <f aca="false">AJ85+AK50</f>
        <v>789959.898056853</v>
      </c>
      <c r="AL85" s="22" t="n">
        <f aca="false">AK85+AL50</f>
        <v>814114.509409761</v>
      </c>
    </row>
    <row r="86" customFormat="false" ht="15" hidden="false" customHeight="false" outlineLevel="0" collapsed="false">
      <c r="A86" s="4" t="s">
        <v>211</v>
      </c>
      <c r="C86" s="15" t="n">
        <f aca="false">C80+C66+C67+C57</f>
        <v>417592.143122222</v>
      </c>
      <c r="D86" s="15" t="n">
        <f aca="false">D80+D66+D67+D57</f>
        <v>424194.702911111</v>
      </c>
      <c r="E86" s="15" t="n">
        <f aca="false">E80+E66+E67+E57</f>
        <v>430819.207144444</v>
      </c>
      <c r="F86" s="15" t="n">
        <f aca="false">F80+F66+F67+F57</f>
        <v>437465.655822222</v>
      </c>
      <c r="G86" s="15" t="n">
        <f aca="false">G80+G66+G67+G57</f>
        <v>444134.048944444</v>
      </c>
      <c r="H86" s="15" t="n">
        <f aca="false">H80+H66+H67+H57</f>
        <v>477580.8035</v>
      </c>
      <c r="I86" s="15" t="n">
        <f aca="false">I80+I66+I67+I57</f>
        <v>505005.613611111</v>
      </c>
      <c r="J86" s="15" t="n">
        <f aca="false">J80+J66+J67+J57</f>
        <v>532452.368166667</v>
      </c>
      <c r="K86" s="15" t="n">
        <f aca="false">K80+K66+K67+K57</f>
        <v>533164.650177778</v>
      </c>
      <c r="L86" s="15" t="n">
        <f aca="false">L80+L66+L67+L57</f>
        <v>539942.765522222</v>
      </c>
      <c r="M86" s="15" t="n">
        <f aca="false">M80+M66+M67+M57</f>
        <v>546742.825311111</v>
      </c>
      <c r="N86" s="15" t="n">
        <f aca="false">N80+N66+N67+N57</f>
        <v>553564.829544445</v>
      </c>
      <c r="O86" s="15" t="n">
        <f aca="false">O80+O66+O67+O57</f>
        <v>575370.034501606</v>
      </c>
      <c r="P86" s="15" t="n">
        <f aca="false">P80+P66+P67+P57</f>
        <v>587849.553069878</v>
      </c>
      <c r="Q86" s="15" t="n">
        <f aca="false">Q80+Q66+Q67+Q57</f>
        <v>600351.016082594</v>
      </c>
      <c r="R86" s="15" t="n">
        <f aca="false">R80+R66+R67+R57</f>
        <v>612874.423539756</v>
      </c>
      <c r="S86" s="15" t="n">
        <f aca="false">S80+S66+S67+S57</f>
        <v>625419.775441361</v>
      </c>
      <c r="T86" s="15" t="n">
        <f aca="false">T80+T66+T67+T57</f>
        <v>665993.42467065</v>
      </c>
      <c r="U86" s="15" t="n">
        <f aca="false">U80+U66+U67+U57</f>
        <v>700262.786955494</v>
      </c>
      <c r="V86" s="15" t="n">
        <f aca="false">V80+V66+V67+V57</f>
        <v>734554.093684783</v>
      </c>
      <c r="W86" s="15" t="n">
        <f aca="false">W80+W66+W67+W57</f>
        <v>740860.991975278</v>
      </c>
      <c r="X86" s="15" t="n">
        <f aca="false">X80+X66+X67+X57</f>
        <v>753516.066099106</v>
      </c>
      <c r="Y86" s="15" t="n">
        <f aca="false">Y80+Y66+Y67+Y57</f>
        <v>766193.084667378</v>
      </c>
      <c r="Z86" s="15" t="n">
        <f aca="false">Z80+Z66+Z67+Z57</f>
        <v>778892.047680094</v>
      </c>
      <c r="AA86" s="15" t="n">
        <f aca="false">AA80+AA66+AA67+AA57</f>
        <v>809558.242044863</v>
      </c>
      <c r="AB86" s="15" t="n">
        <f aca="false">AB80+AB66+AB67+AB57</f>
        <v>829326.74228666</v>
      </c>
      <c r="AC86" s="15" t="n">
        <f aca="false">AC80+AC66+AC67+AC57</f>
        <v>849117.186972901</v>
      </c>
      <c r="AD86" s="15" t="n">
        <f aca="false">AD80+AD66+AD67+AD57</f>
        <v>868929.576103587</v>
      </c>
      <c r="AE86" s="15" t="n">
        <f aca="false">AE80+AE66+AE67+AE57</f>
        <v>888763.909678717</v>
      </c>
      <c r="AF86" s="15" t="n">
        <f aca="false">AF80+AF66+AF67+AF57</f>
        <v>937540.824349429</v>
      </c>
      <c r="AG86" s="15" t="n">
        <f aca="false">AG80+AG66+AG67+AG57</f>
        <v>979806.928552446</v>
      </c>
      <c r="AH86" s="15" t="n">
        <f aca="false">AH80+AH66+AH67+AH57</f>
        <v>1022094.97719991</v>
      </c>
      <c r="AI86" s="15" t="n">
        <f aca="false">AI80+AI66+AI67+AI57</f>
        <v>1035484.33364068</v>
      </c>
      <c r="AJ86" s="15" t="n">
        <f aca="false">AJ80+AJ66+AJ67+AJ57</f>
        <v>1055428.38943803</v>
      </c>
      <c r="AK86" s="15" t="n">
        <f aca="false">AK80+AK66+AK67+AK57</f>
        <v>1075394.38967983</v>
      </c>
      <c r="AL86" s="15" t="n">
        <f aca="false">AL80+AL66+AL67+AL57</f>
        <v>1095382.33436607</v>
      </c>
    </row>
    <row r="87" customFormat="false" ht="15" hidden="false" customHeight="false" outlineLevel="0" collapsed="false">
      <c r="A87" s="11" t="s">
        <v>212</v>
      </c>
      <c r="C87" s="22" t="n">
        <f aca="false">C68+C63</f>
        <v>306833.888888889</v>
      </c>
      <c r="D87" s="22" t="n">
        <f aca="false">D68+D63</f>
        <v>302667.222222222</v>
      </c>
      <c r="E87" s="22" t="n">
        <f aca="false">E68+E63</f>
        <v>298500.555555556</v>
      </c>
      <c r="F87" s="22" t="n">
        <f aca="false">F68+F63</f>
        <v>294333.888888889</v>
      </c>
      <c r="G87" s="22" t="n">
        <f aca="false">G68+G63</f>
        <v>290167.222222222</v>
      </c>
      <c r="H87" s="22" t="n">
        <f aca="false">H68+H63</f>
        <v>292044.444444445</v>
      </c>
      <c r="I87" s="22" t="n">
        <f aca="false">I68+I63</f>
        <v>287877.777777778</v>
      </c>
      <c r="J87" s="22" t="n">
        <f aca="false">J68+J63</f>
        <v>283711.111111111</v>
      </c>
      <c r="K87" s="22" t="n">
        <f aca="false">K68+K63</f>
        <v>273500.555555556</v>
      </c>
      <c r="L87" s="22" t="n">
        <f aca="false">L68+L63</f>
        <v>269333.888888889</v>
      </c>
      <c r="M87" s="22" t="n">
        <f aca="false">M68+M63</f>
        <v>265167.222222222</v>
      </c>
      <c r="N87" s="22" t="n">
        <f aca="false">N68+N63</f>
        <v>261000.555555556</v>
      </c>
      <c r="O87" s="22" t="n">
        <f aca="false">O68+O63</f>
        <v>266181.519722222</v>
      </c>
      <c r="P87" s="22" t="n">
        <f aca="false">P68+P63</f>
        <v>262014.853055556</v>
      </c>
      <c r="Q87" s="22" t="n">
        <f aca="false">Q68+Q63</f>
        <v>257848.186388889</v>
      </c>
      <c r="R87" s="22" t="n">
        <f aca="false">R68+R63</f>
        <v>253681.519722222</v>
      </c>
      <c r="S87" s="22" t="n">
        <f aca="false">S68+S63</f>
        <v>249514.853055556</v>
      </c>
      <c r="T87" s="22" t="n">
        <f aca="false">T68+T63</f>
        <v>251674.417777778</v>
      </c>
      <c r="U87" s="22" t="n">
        <f aca="false">U68+U63</f>
        <v>247507.751111111</v>
      </c>
      <c r="V87" s="22" t="n">
        <f aca="false">V68+V63</f>
        <v>243341.084444445</v>
      </c>
      <c r="W87" s="22" t="n">
        <f aca="false">W68+W63</f>
        <v>232848.186388889</v>
      </c>
      <c r="X87" s="22" t="n">
        <f aca="false">X68+X63</f>
        <v>228681.519722222</v>
      </c>
      <c r="Y87" s="22" t="n">
        <f aca="false">Y68+Y63</f>
        <v>224514.853055556</v>
      </c>
      <c r="Z87" s="22" t="n">
        <f aca="false">Z68+Z63</f>
        <v>220348.186388889</v>
      </c>
      <c r="AA87" s="22" t="n">
        <f aca="false">AA68+AA63</f>
        <v>227101.158289639</v>
      </c>
      <c r="AB87" s="22" t="n">
        <f aca="false">AB68+AB63</f>
        <v>222934.491622972</v>
      </c>
      <c r="AC87" s="22" t="n">
        <f aca="false">AC68+AC63</f>
        <v>218767.824956306</v>
      </c>
      <c r="AD87" s="22" t="n">
        <f aca="false">AD68+AD63</f>
        <v>214601.158289639</v>
      </c>
      <c r="AE87" s="22" t="n">
        <f aca="false">AE68+AE63</f>
        <v>210434.491622972</v>
      </c>
      <c r="AF87" s="22" t="n">
        <f aca="false">AF68+AF63</f>
        <v>212800.579868445</v>
      </c>
      <c r="AG87" s="22" t="n">
        <f aca="false">AG68+AG63</f>
        <v>208633.913201778</v>
      </c>
      <c r="AH87" s="22" t="n">
        <f aca="false">AH68+AH63</f>
        <v>204467.246535111</v>
      </c>
      <c r="AI87" s="22" t="n">
        <f aca="false">AI68+AI63</f>
        <v>193767.824956306</v>
      </c>
      <c r="AJ87" s="22" t="n">
        <f aca="false">AJ68+AJ63</f>
        <v>189601.158289639</v>
      </c>
      <c r="AK87" s="22" t="n">
        <f aca="false">AK68+AK63</f>
        <v>185434.491622972</v>
      </c>
      <c r="AL87" s="22" t="n">
        <f aca="false">AL68+AL63</f>
        <v>181267.824956306</v>
      </c>
    </row>
    <row r="88" customFormat="false" ht="15" hidden="false" customHeight="false" outlineLevel="0" collapsed="false">
      <c r="A88" s="11" t="s">
        <v>213</v>
      </c>
      <c r="C88" s="22" t="n">
        <f aca="false">C84+C85</f>
        <v>110758.254233333</v>
      </c>
      <c r="D88" s="22" t="n">
        <f aca="false">D84+D85</f>
        <v>121527.480688889</v>
      </c>
      <c r="E88" s="22" t="n">
        <f aca="false">E84+E85</f>
        <v>132318.651588889</v>
      </c>
      <c r="F88" s="22" t="n">
        <f aca="false">F84+F85</f>
        <v>143131.766933333</v>
      </c>
      <c r="G88" s="22" t="n">
        <f aca="false">G84+G85</f>
        <v>153966.826722222</v>
      </c>
      <c r="H88" s="22" t="n">
        <f aca="false">H84+H85</f>
        <v>185536.359055556</v>
      </c>
      <c r="I88" s="22" t="n">
        <f aca="false">I84+I85</f>
        <v>217127.835833333</v>
      </c>
      <c r="J88" s="22" t="n">
        <f aca="false">J84+J85</f>
        <v>248741.257055556</v>
      </c>
      <c r="K88" s="22" t="n">
        <f aca="false">K84+K85</f>
        <v>259664.094622222</v>
      </c>
      <c r="L88" s="22" t="n">
        <f aca="false">L84+L85</f>
        <v>270608.876633333</v>
      </c>
      <c r="M88" s="22" t="n">
        <f aca="false">M84+M85</f>
        <v>281575.603088889</v>
      </c>
      <c r="N88" s="22" t="n">
        <f aca="false">N84+N85</f>
        <v>292564.273988889</v>
      </c>
      <c r="O88" s="22" t="n">
        <f aca="false">O84+O85</f>
        <v>309188.514779383</v>
      </c>
      <c r="P88" s="22" t="n">
        <f aca="false">P84+P85</f>
        <v>325834.700014322</v>
      </c>
      <c r="Q88" s="22" t="n">
        <f aca="false">Q84+Q85</f>
        <v>342502.829693706</v>
      </c>
      <c r="R88" s="22" t="n">
        <f aca="false">R84+R85</f>
        <v>359192.903817533</v>
      </c>
      <c r="S88" s="22" t="n">
        <f aca="false">S84+S85</f>
        <v>375904.922385805</v>
      </c>
      <c r="T88" s="22" t="n">
        <f aca="false">T84+T85</f>
        <v>414319.006892872</v>
      </c>
      <c r="U88" s="22" t="n">
        <f aca="false">U84+U85</f>
        <v>452755.035844383</v>
      </c>
      <c r="V88" s="22" t="n">
        <f aca="false">V84+V85</f>
        <v>491213.009240339</v>
      </c>
      <c r="W88" s="22" t="n">
        <f aca="false">W84+W85</f>
        <v>508012.805586389</v>
      </c>
      <c r="X88" s="22" t="n">
        <f aca="false">X84+X85</f>
        <v>524834.546376883</v>
      </c>
      <c r="Y88" s="22" t="n">
        <f aca="false">Y84+Y85</f>
        <v>541678.231611822</v>
      </c>
      <c r="Z88" s="22" t="n">
        <f aca="false">Z84+Z85</f>
        <v>558543.861291206</v>
      </c>
      <c r="AA88" s="22" t="n">
        <f aca="false">AA84+AA85</f>
        <v>582457.083755225</v>
      </c>
      <c r="AB88" s="22" t="n">
        <f aca="false">AB84+AB85</f>
        <v>606392.250663688</v>
      </c>
      <c r="AC88" s="22" t="n">
        <f aca="false">AC84+AC85</f>
        <v>630349.362016596</v>
      </c>
      <c r="AD88" s="22" t="n">
        <f aca="false">AD84+AD85</f>
        <v>654328.417813948</v>
      </c>
      <c r="AE88" s="22" t="n">
        <f aca="false">AE84+AE85</f>
        <v>678329.418055745</v>
      </c>
      <c r="AF88" s="22" t="n">
        <f aca="false">AF84+AF85</f>
        <v>724740.244480984</v>
      </c>
      <c r="AG88" s="22" t="n">
        <f aca="false">AG84+AG85</f>
        <v>771173.015350668</v>
      </c>
      <c r="AH88" s="22" t="n">
        <f aca="false">AH84+AH85</f>
        <v>817627.730664796</v>
      </c>
      <c r="AI88" s="22" t="n">
        <f aca="false">AI84+AI85</f>
        <v>841716.508684371</v>
      </c>
      <c r="AJ88" s="22" t="n">
        <f aca="false">AJ84+AJ85</f>
        <v>865827.23114839</v>
      </c>
      <c r="AK88" s="22" t="n">
        <f aca="false">AK84+AK85</f>
        <v>889959.898056853</v>
      </c>
      <c r="AL88" s="22" t="n">
        <f aca="false">AL84+AL85</f>
        <v>914114.509409761</v>
      </c>
    </row>
    <row r="89" customFormat="false" ht="15" hidden="false" customHeight="false" outlineLevel="0" collapsed="false">
      <c r="A89" s="4" t="s">
        <v>214</v>
      </c>
      <c r="C89" s="15" t="n">
        <f aca="false">C87+C88</f>
        <v>417592.143122222</v>
      </c>
      <c r="D89" s="15" t="n">
        <f aca="false">D87+D88</f>
        <v>424194.702911111</v>
      </c>
      <c r="E89" s="15" t="n">
        <f aca="false">E87+E88</f>
        <v>430819.207144444</v>
      </c>
      <c r="F89" s="15" t="n">
        <f aca="false">F87+F88</f>
        <v>437465.655822222</v>
      </c>
      <c r="G89" s="15" t="n">
        <f aca="false">G87+G88</f>
        <v>444134.048944444</v>
      </c>
      <c r="H89" s="15" t="n">
        <f aca="false">H87+H88</f>
        <v>477580.8035</v>
      </c>
      <c r="I89" s="15" t="n">
        <f aca="false">I87+I88</f>
        <v>505005.613611111</v>
      </c>
      <c r="J89" s="15" t="n">
        <f aca="false">J87+J88</f>
        <v>532452.368166667</v>
      </c>
      <c r="K89" s="15" t="n">
        <f aca="false">K87+K88</f>
        <v>533164.650177778</v>
      </c>
      <c r="L89" s="15" t="n">
        <f aca="false">L87+L88</f>
        <v>539942.765522222</v>
      </c>
      <c r="M89" s="15" t="n">
        <f aca="false">M87+M88</f>
        <v>546742.825311111</v>
      </c>
      <c r="N89" s="15" t="n">
        <f aca="false">N87+N88</f>
        <v>553564.829544445</v>
      </c>
      <c r="O89" s="15" t="n">
        <f aca="false">O87+O88</f>
        <v>575370.034501606</v>
      </c>
      <c r="P89" s="15" t="n">
        <f aca="false">P87+P88</f>
        <v>587849.553069878</v>
      </c>
      <c r="Q89" s="15" t="n">
        <f aca="false">Q87+Q88</f>
        <v>600351.016082595</v>
      </c>
      <c r="R89" s="15" t="n">
        <f aca="false">R87+R88</f>
        <v>612874.423539756</v>
      </c>
      <c r="S89" s="15" t="n">
        <f aca="false">S87+S88</f>
        <v>625419.775441361</v>
      </c>
      <c r="T89" s="15" t="n">
        <f aca="false">T87+T88</f>
        <v>665993.42467065</v>
      </c>
      <c r="U89" s="15" t="n">
        <f aca="false">U87+U88</f>
        <v>700262.786955495</v>
      </c>
      <c r="V89" s="15" t="n">
        <f aca="false">V87+V88</f>
        <v>734554.093684783</v>
      </c>
      <c r="W89" s="15" t="n">
        <f aca="false">W87+W88</f>
        <v>740860.991975278</v>
      </c>
      <c r="X89" s="15" t="n">
        <f aca="false">X87+X88</f>
        <v>753516.066099106</v>
      </c>
      <c r="Y89" s="15" t="n">
        <f aca="false">Y87+Y88</f>
        <v>766193.084667378</v>
      </c>
      <c r="Z89" s="15" t="n">
        <f aca="false">Z87+Z88</f>
        <v>778892.047680095</v>
      </c>
      <c r="AA89" s="15" t="n">
        <f aca="false">AA87+AA88</f>
        <v>809558.242044864</v>
      </c>
      <c r="AB89" s="15" t="n">
        <f aca="false">AB87+AB88</f>
        <v>829326.74228666</v>
      </c>
      <c r="AC89" s="15" t="n">
        <f aca="false">AC87+AC88</f>
        <v>849117.186972902</v>
      </c>
      <c r="AD89" s="15" t="n">
        <f aca="false">AD87+AD88</f>
        <v>868929.576103587</v>
      </c>
      <c r="AE89" s="15" t="n">
        <f aca="false">AE87+AE88</f>
        <v>888763.909678717</v>
      </c>
      <c r="AF89" s="15" t="n">
        <f aca="false">AF87+AF88</f>
        <v>937540.824349429</v>
      </c>
      <c r="AG89" s="15" t="n">
        <f aca="false">AG87+AG88</f>
        <v>979806.928552446</v>
      </c>
      <c r="AH89" s="15" t="n">
        <f aca="false">AH87+AH88</f>
        <v>1022094.97719991</v>
      </c>
      <c r="AI89" s="15" t="n">
        <f aca="false">AI87+AI88</f>
        <v>1035484.33364068</v>
      </c>
      <c r="AJ89" s="15" t="n">
        <f aca="false">AJ87+AJ88</f>
        <v>1055428.38943803</v>
      </c>
      <c r="AK89" s="15" t="n">
        <f aca="false">AK87+AK88</f>
        <v>1075394.38967983</v>
      </c>
      <c r="AL89" s="15" t="n">
        <f aca="false">AL87+AL88</f>
        <v>1095382.33436607</v>
      </c>
    </row>
    <row r="90" customFormat="false" ht="15" hidden="false" customHeight="false" outlineLevel="0" collapsed="false">
      <c r="A90" s="11" t="s">
        <v>215</v>
      </c>
      <c r="C90" s="22" t="n">
        <f aca="false">C86-C89</f>
        <v>0</v>
      </c>
      <c r="D90" s="22" t="n">
        <f aca="false">D86-D89</f>
        <v>0</v>
      </c>
      <c r="E90" s="22" t="n">
        <f aca="false">E86-E89</f>
        <v>0</v>
      </c>
      <c r="F90" s="22" t="n">
        <f aca="false">F86-F89</f>
        <v>0</v>
      </c>
      <c r="G90" s="22" t="n">
        <f aca="false">G86-G89</f>
        <v>0</v>
      </c>
      <c r="H90" s="22" t="n">
        <f aca="false">H86-H89</f>
        <v>0</v>
      </c>
      <c r="I90" s="22" t="n">
        <f aca="false">I86-I89</f>
        <v>0</v>
      </c>
      <c r="J90" s="22" t="n">
        <f aca="false">J86-J89</f>
        <v>0</v>
      </c>
      <c r="K90" s="22" t="n">
        <f aca="false">K86-K89</f>
        <v>0</v>
      </c>
      <c r="L90" s="22" t="n">
        <f aca="false">L86-L89</f>
        <v>0</v>
      </c>
      <c r="M90" s="22" t="n">
        <f aca="false">M86-M89</f>
        <v>0</v>
      </c>
      <c r="N90" s="22" t="n">
        <f aca="false">N86-N89</f>
        <v>0</v>
      </c>
      <c r="O90" s="22" t="n">
        <f aca="false">O86-O89</f>
        <v>0</v>
      </c>
      <c r="P90" s="22" t="n">
        <f aca="false">P86-P89</f>
        <v>0</v>
      </c>
      <c r="Q90" s="22" t="n">
        <f aca="false">Q86-Q89</f>
        <v>0</v>
      </c>
      <c r="R90" s="22" t="n">
        <f aca="false">R86-R89</f>
        <v>0</v>
      </c>
      <c r="S90" s="22" t="n">
        <f aca="false">S86-S89</f>
        <v>0</v>
      </c>
      <c r="T90" s="22" t="n">
        <f aca="false">T86-T89</f>
        <v>0</v>
      </c>
      <c r="U90" s="22" t="n">
        <f aca="false">U86-U89</f>
        <v>0</v>
      </c>
      <c r="V90" s="22" t="n">
        <f aca="false">V86-V89</f>
        <v>0</v>
      </c>
      <c r="W90" s="22" t="n">
        <f aca="false">W86-W89</f>
        <v>0</v>
      </c>
      <c r="X90" s="22" t="n">
        <f aca="false">X86-X89</f>
        <v>0</v>
      </c>
      <c r="Y90" s="22" t="n">
        <f aca="false">Y86-Y89</f>
        <v>0</v>
      </c>
      <c r="Z90" s="22" t="n">
        <f aca="false">Z86-Z89</f>
        <v>0</v>
      </c>
      <c r="AA90" s="22" t="n">
        <f aca="false">AA86-AA89</f>
        <v>0</v>
      </c>
      <c r="AB90" s="22" t="n">
        <f aca="false">AB86-AB89</f>
        <v>0</v>
      </c>
      <c r="AC90" s="22" t="n">
        <f aca="false">AC86-AC89</f>
        <v>0</v>
      </c>
      <c r="AD90" s="22" t="n">
        <f aca="false">AD86-AD89</f>
        <v>0</v>
      </c>
      <c r="AE90" s="22" t="n">
        <f aca="false">AE86-AE89</f>
        <v>0</v>
      </c>
      <c r="AF90" s="22" t="n">
        <f aca="false">AF86-AF89</f>
        <v>0</v>
      </c>
      <c r="AG90" s="22" t="n">
        <f aca="false">AG86-AG89</f>
        <v>0</v>
      </c>
      <c r="AH90" s="22" t="n">
        <f aca="false">AH86-AH89</f>
        <v>0</v>
      </c>
      <c r="AI90" s="22" t="n">
        <f aca="false">AI86-AI89</f>
        <v>0</v>
      </c>
      <c r="AJ90" s="22" t="n">
        <f aca="false">AJ86-AJ89</f>
        <v>0</v>
      </c>
      <c r="AK90" s="22" t="n">
        <f aca="false">AK86-AK89</f>
        <v>0</v>
      </c>
      <c r="AL90" s="22" t="n">
        <f aca="false">AL86-AL89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216</v>
      </c>
      <c r="B1" s="2"/>
      <c r="C1" s="2"/>
      <c r="D1" s="2"/>
    </row>
    <row r="2" customFormat="false" ht="15" hidden="false" customHeight="false" outlineLevel="0" collapsed="false">
      <c r="A2" s="3" t="s">
        <v>217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4" t="s">
        <v>7</v>
      </c>
      <c r="B5" s="15" t="n">
        <f aca="false">SUMIF(Monthly!$C$5:$AL$5,B$3,Monthly!$C$22:$AL$22)</f>
        <v>1710030</v>
      </c>
      <c r="C5" s="15" t="n">
        <f aca="false">SUMIF(Monthly!$C$5:$AL$5,C$3,Monthly!$C$22:$AL$22)</f>
        <v>2015484.945</v>
      </c>
      <c r="D5" s="15" t="n">
        <f aca="false">SUMIF(Monthly!$C$5:$AL$5,D$3,Monthly!$C$22:$AL$22)</f>
        <v>2376160.7103285</v>
      </c>
    </row>
    <row r="6" customFormat="false" ht="15" hidden="false" customHeight="false" outlineLevel="0" collapsed="false">
      <c r="A6" s="11" t="s">
        <v>161</v>
      </c>
      <c r="B6" s="22" t="n">
        <f aca="false">SUMIF(Monthly!$C$5:$AL$5,B$3,Monthly!$C$29:$AL$29)</f>
        <v>-1050207.5</v>
      </c>
      <c r="C6" s="22" t="n">
        <f aca="false">SUMIF(Monthly!$C$5:$AL$5,C$3,Monthly!$C$29:$AL$29)</f>
        <v>-1219735.39625</v>
      </c>
      <c r="D6" s="22" t="n">
        <f aca="false">SUMIF(Monthly!$C$5:$AL$5,D$3,Monthly!$C$29:$AL$29)</f>
        <v>-1417218.24631813</v>
      </c>
    </row>
    <row r="7" customFormat="false" ht="15" hidden="false" customHeight="false" outlineLevel="0" collapsed="false">
      <c r="A7" s="4" t="s">
        <v>8</v>
      </c>
      <c r="B7" s="35" t="n">
        <f aca="false">SUMIF(Monthly!$C$5:$AL$5,B$3,Monthly!$C$30:$AL$30)</f>
        <v>659822.5</v>
      </c>
      <c r="C7" s="35" t="n">
        <f aca="false">SUMIF(Monthly!$C$5:$AL$5,C$3,Monthly!$C$30:$AL$30)</f>
        <v>795749.54875</v>
      </c>
      <c r="D7" s="35" t="n">
        <f aca="false">SUMIF(Monthly!$C$5:$AL$5,D$3,Monthly!$C$30:$AL$30)</f>
        <v>958942.464010375</v>
      </c>
    </row>
    <row r="8" customFormat="false" ht="15" hidden="false" customHeight="false" outlineLevel="0" collapsed="false">
      <c r="A8" s="11" t="s">
        <v>37</v>
      </c>
      <c r="B8" s="21" t="n">
        <f aca="false">IF(B5=0,0,B7/B5)</f>
        <v>0.385854341736695</v>
      </c>
      <c r="C8" s="21" t="n">
        <f aca="false">IF(C5=0,0,C7/C5)</f>
        <v>0.394817907583031</v>
      </c>
      <c r="D8" s="21" t="n">
        <f aca="false">IF(D5=0,0,D7/D5)</f>
        <v>0.403568016187677</v>
      </c>
    </row>
    <row r="9" customFormat="false" ht="15" hidden="false" customHeight="false" outlineLevel="0" collapsed="false">
      <c r="A9" s="11" t="s">
        <v>167</v>
      </c>
      <c r="B9" s="22" t="n">
        <f aca="false">SUMIF(Monthly!$C$5:$AL$5,B$3,Monthly!$C$33:$AL$33)</f>
        <v>-103500</v>
      </c>
      <c r="C9" s="22" t="n">
        <f aca="false">SUMIF(Monthly!$C$5:$AL$5,C$3,Monthly!$C$33:$AL$33)</f>
        <v>-117265.5</v>
      </c>
      <c r="D9" s="22" t="n">
        <f aca="false">SUMIF(Monthly!$C$5:$AL$5,D$3,Monthly!$C$33:$AL$33)</f>
        <v>-132861.8115</v>
      </c>
    </row>
    <row r="10" customFormat="false" ht="15" hidden="false" customHeight="false" outlineLevel="0" collapsed="false">
      <c r="A10" s="11" t="s">
        <v>168</v>
      </c>
      <c r="B10" s="22" t="n">
        <f aca="false">SUMIF(Monthly!$C$5:$AL$5,B$3,Monthly!$C$34:$AL$34)</f>
        <v>-108000</v>
      </c>
      <c r="C10" s="22" t="n">
        <f aca="false">SUMIF(Monthly!$C$5:$AL$5,C$3,Monthly!$C$34:$AL$34)</f>
        <v>-124200</v>
      </c>
      <c r="D10" s="22" t="n">
        <f aca="false">SUMIF(Monthly!$C$5:$AL$5,D$3,Monthly!$C$34:$AL$34)</f>
        <v>-142830</v>
      </c>
    </row>
    <row r="11" customFormat="false" ht="15" hidden="false" customHeight="false" outlineLevel="0" collapsed="false">
      <c r="A11" s="11" t="s">
        <v>169</v>
      </c>
      <c r="B11" s="22" t="n">
        <f aca="false">SUMIF(Monthly!$C$5:$AL$5,B$3,Monthly!$C$35:$AL$35)</f>
        <v>-10080</v>
      </c>
      <c r="C11" s="22" t="n">
        <f aca="false">SUMIF(Monthly!$C$5:$AL$5,C$3,Monthly!$C$35:$AL$35)</f>
        <v>-11289.6</v>
      </c>
      <c r="D11" s="22" t="n">
        <f aca="false">SUMIF(Monthly!$C$5:$AL$5,D$3,Monthly!$C$35:$AL$35)</f>
        <v>-12644.352</v>
      </c>
    </row>
    <row r="12" customFormat="false" ht="15" hidden="false" customHeight="false" outlineLevel="0" collapsed="false">
      <c r="A12" s="11" t="s">
        <v>170</v>
      </c>
      <c r="B12" s="22" t="n">
        <f aca="false">SUMIF(Monthly!$C$5:$AL$5,B$3,Monthly!$C$36:$AL$36)</f>
        <v>-42000</v>
      </c>
      <c r="C12" s="22" t="n">
        <f aca="false">SUMIF(Monthly!$C$5:$AL$5,C$3,Monthly!$C$36:$AL$36)</f>
        <v>-42000</v>
      </c>
      <c r="D12" s="22" t="n">
        <f aca="false">SUMIF(Monthly!$C$5:$AL$5,D$3,Monthly!$C$36:$AL$36)</f>
        <v>-42000</v>
      </c>
    </row>
    <row r="13" customFormat="false" ht="15" hidden="false" customHeight="false" outlineLevel="0" collapsed="false">
      <c r="A13" s="11" t="s">
        <v>171</v>
      </c>
      <c r="B13" s="22" t="n">
        <f aca="false">SUMIF(Monthly!$C$5:$AL$5,B$3,Monthly!$C$37:$AL$37)</f>
        <v>-54000</v>
      </c>
      <c r="C13" s="22" t="n">
        <f aca="false">SUMIF(Monthly!$C$5:$AL$5,C$3,Monthly!$C$37:$AL$37)</f>
        <v>-54000</v>
      </c>
      <c r="D13" s="22" t="n">
        <f aca="false">SUMIF(Monthly!$C$5:$AL$5,D$3,Monthly!$C$37:$AL$37)</f>
        <v>-54000</v>
      </c>
    </row>
    <row r="14" customFormat="false" ht="15" hidden="false" customHeight="false" outlineLevel="0" collapsed="false">
      <c r="A14" s="11" t="s">
        <v>172</v>
      </c>
      <c r="B14" s="22" t="n">
        <f aca="false">SUMIF(Monthly!$C$5:$AL$5,B$3,Monthly!$C$38:$AL$38)</f>
        <v>-30000</v>
      </c>
      <c r="C14" s="22" t="n">
        <f aca="false">SUMIF(Monthly!$C$5:$AL$5,C$3,Monthly!$C$38:$AL$38)</f>
        <v>-30000</v>
      </c>
      <c r="D14" s="22" t="n">
        <f aca="false">SUMIF(Monthly!$C$5:$AL$5,D$3,Monthly!$C$38:$AL$38)</f>
        <v>-30000</v>
      </c>
    </row>
    <row r="15" customFormat="false" ht="15" hidden="false" customHeight="false" outlineLevel="0" collapsed="false">
      <c r="A15" s="11" t="s">
        <v>173</v>
      </c>
      <c r="B15" s="22" t="n">
        <f aca="false">SUMIF(Monthly!$C$5:$AL$5,B$3,Monthly!$C$39:$AL$39)</f>
        <v>-46170.81</v>
      </c>
      <c r="C15" s="22" t="n">
        <f aca="false">SUMIF(Monthly!$C$5:$AL$5,C$3,Monthly!$C$39:$AL$39)</f>
        <v>-54418.093515</v>
      </c>
      <c r="D15" s="22" t="n">
        <f aca="false">SUMIF(Monthly!$C$5:$AL$5,D$3,Monthly!$C$39:$AL$39)</f>
        <v>-64156.3391788695</v>
      </c>
    </row>
    <row r="16" customFormat="false" ht="15" hidden="false" customHeight="false" outlineLevel="0" collapsed="false">
      <c r="A16" s="4" t="s">
        <v>174</v>
      </c>
      <c r="B16" s="35" t="n">
        <f aca="false">SUMIF(Monthly!$C$5:$AL$5,B$3,Monthly!$C$40:$AL$40)</f>
        <v>-393750.81</v>
      </c>
      <c r="C16" s="35" t="n">
        <f aca="false">SUMIF(Monthly!$C$5:$AL$5,C$3,Monthly!$C$40:$AL$40)</f>
        <v>-433173.193515</v>
      </c>
      <c r="D16" s="35" t="n">
        <f aca="false">SUMIF(Monthly!$C$5:$AL$5,D$3,Monthly!$C$40:$AL$40)</f>
        <v>-478492.50267887</v>
      </c>
    </row>
    <row r="17" customFormat="false" ht="15" hidden="false" customHeight="false" outlineLevel="0" collapsed="false">
      <c r="A17" s="4" t="s">
        <v>9</v>
      </c>
      <c r="B17" s="35" t="n">
        <f aca="false">SUMIF(Monthly!$C$5:$AL$5,B$3,Monthly!$C$41:$AL$41)</f>
        <v>266071.69</v>
      </c>
      <c r="C17" s="35" t="n">
        <f aca="false">SUMIF(Monthly!$C$5:$AL$5,C$3,Monthly!$C$41:$AL$41)</f>
        <v>362576.355235</v>
      </c>
      <c r="D17" s="35" t="n">
        <f aca="false">SUMIF(Monthly!$C$5:$AL$5,D$3,Monthly!$C$41:$AL$41)</f>
        <v>480449.961331505</v>
      </c>
    </row>
    <row r="18" customFormat="false" ht="15" hidden="false" customHeight="false" outlineLevel="0" collapsed="false">
      <c r="A18" s="11" t="s">
        <v>10</v>
      </c>
      <c r="B18" s="21" t="n">
        <f aca="false">IF(B5=0,0,B17/B5)</f>
        <v>0.155594749799711</v>
      </c>
      <c r="C18" s="21" t="n">
        <f aca="false">IF(C5=0,0,C17/C5)</f>
        <v>0.179895342872432</v>
      </c>
      <c r="D18" s="21" t="n">
        <f aca="false">IF(D5=0,0,D17/D5)</f>
        <v>0.202195903350781</v>
      </c>
    </row>
    <row r="19" customFormat="false" ht="15" hidden="false" customHeight="false" outlineLevel="0" collapsed="false">
      <c r="A19" s="11" t="s">
        <v>185</v>
      </c>
      <c r="B19" s="22" t="n">
        <f aca="false">SUMIF(Monthly!$C$5:$AL$5,B$3,Monthly!$C$55:$AL$55)</f>
        <v>-4000</v>
      </c>
      <c r="C19" s="22" t="n">
        <f aca="false">SUMIF(Monthly!$C$5:$AL$5,C$3,Monthly!$C$55:$AL$55)</f>
        <v>-11560</v>
      </c>
      <c r="D19" s="22" t="n">
        <f aca="false">SUMIF(Monthly!$C$5:$AL$5,D$3,Monthly!$C$55:$AL$55)</f>
        <v>-20027.2</v>
      </c>
    </row>
    <row r="20" customFormat="false" ht="15" hidden="false" customHeight="false" outlineLevel="0" collapsed="false">
      <c r="A20" s="4" t="s">
        <v>176</v>
      </c>
      <c r="B20" s="15" t="n">
        <f aca="false">SUMIF(Monthly!$C$5:$AL$5,B$3,Monthly!$C$44:$AL$44)</f>
        <v>262071.69</v>
      </c>
      <c r="C20" s="15" t="n">
        <f aca="false">SUMIF(Monthly!$C$5:$AL$5,C$3,Monthly!$C$44:$AL$44)</f>
        <v>351016.355235</v>
      </c>
      <c r="D20" s="15" t="n">
        <f aca="false">SUMIF(Monthly!$C$5:$AL$5,D$3,Monthly!$C$44:$AL$44)</f>
        <v>460422.761331505</v>
      </c>
    </row>
    <row r="21" customFormat="false" ht="15" hidden="false" customHeight="false" outlineLevel="0" collapsed="false">
      <c r="A21" s="11" t="s">
        <v>218</v>
      </c>
      <c r="B21" s="22" t="n">
        <f aca="false">SUMIF(Monthly!$C$5:$AL$5,B$3,Monthly!$C$45:$AL$45)</f>
        <v>-18319.4444444445</v>
      </c>
      <c r="C21" s="22" t="n">
        <f aca="false">SUMIF(Monthly!$C$5:$AL$5,C$3,Monthly!$C$45:$AL$45)</f>
        <v>-14333.3333333333</v>
      </c>
      <c r="D21" s="22" t="n">
        <f aca="false">SUMIF(Monthly!$C$5:$AL$5,D$3,Monthly!$C$45:$AL$45)</f>
        <v>-10333.3333333334</v>
      </c>
    </row>
    <row r="22" customFormat="false" ht="15" hidden="false" customHeight="false" outlineLevel="0" collapsed="false">
      <c r="A22" s="11" t="s">
        <v>178</v>
      </c>
      <c r="B22" s="36" t="n">
        <f aca="false">SUMIF(Monthly!$C$5:$AL$5,B$3,Monthly!$C$46:$AL$46)</f>
        <v>243752.245555556</v>
      </c>
      <c r="C22" s="36" t="n">
        <f aca="false">SUMIF(Monthly!$C$5:$AL$5,C$3,Monthly!$C$46:$AL$46)</f>
        <v>336683.021901667</v>
      </c>
      <c r="D22" s="36" t="n">
        <f aca="false">SUMIF(Monthly!$C$5:$AL$5,D$3,Monthly!$C$46:$AL$46)</f>
        <v>450089.427998172</v>
      </c>
    </row>
    <row r="23" customFormat="false" ht="15" hidden="false" customHeight="false" outlineLevel="0" collapsed="false">
      <c r="A23" s="11" t="s">
        <v>181</v>
      </c>
      <c r="B23" s="22" t="n">
        <f aca="false">SUMIF(Monthly!$C$5:$AL$5,B$3,Monthly!$C$49:$AL$49)</f>
        <v>-51187.9715666667</v>
      </c>
      <c r="C23" s="22" t="n">
        <f aca="false">SUMIF(Monthly!$C$5:$AL$5,C$3,Monthly!$C$49:$AL$49)</f>
        <v>-70703.43459935</v>
      </c>
      <c r="D23" s="22" t="n">
        <f aca="false">SUMIF(Monthly!$C$5:$AL$5,D$3,Monthly!$C$49:$AL$49)</f>
        <v>-94518.7798796161</v>
      </c>
    </row>
    <row r="24" customFormat="false" ht="15" hidden="false" customHeight="false" outlineLevel="0" collapsed="false">
      <c r="A24" s="4" t="s">
        <v>11</v>
      </c>
      <c r="B24" s="35" t="n">
        <f aca="false">SUMIF(Monthly!$C$5:$AL$5,B$3,Monthly!$C$50:$AL$50)</f>
        <v>192564.273988889</v>
      </c>
      <c r="C24" s="35" t="n">
        <f aca="false">SUMIF(Monthly!$C$5:$AL$5,C$3,Monthly!$C$50:$AL$50)</f>
        <v>265979.587302317</v>
      </c>
      <c r="D24" s="35" t="n">
        <f aca="false">SUMIF(Monthly!$C$5:$AL$5,D$3,Monthly!$C$50:$AL$50)</f>
        <v>355570.648118556</v>
      </c>
    </row>
    <row r="25" customFormat="false" ht="15" hidden="false" customHeight="false" outlineLevel="0" collapsed="false">
      <c r="A25" s="11" t="s">
        <v>219</v>
      </c>
      <c r="B25" s="21" t="n">
        <f aca="false">IF(B5=0,0,B24/B5)</f>
        <v>0.11260871095179</v>
      </c>
      <c r="C25" s="21" t="n">
        <f aca="false">IF(C5=0,0,C24/C5)</f>
        <v>0.131968034771064</v>
      </c>
      <c r="D25" s="21" t="n">
        <f aca="false">IF(D5=0,0,D24/D5)</f>
        <v>0.149640824618045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220</v>
      </c>
      <c r="B1" s="2"/>
      <c r="C1" s="2"/>
      <c r="D1" s="2"/>
    </row>
    <row r="2" customFormat="false" ht="15" hidden="false" customHeight="false" outlineLevel="0" collapsed="false">
      <c r="A2" s="3" t="s">
        <v>217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11</v>
      </c>
      <c r="B5" s="22" t="n">
        <f aca="false">SUMIF(Monthly!$C$5:$AL$5,B$3,Monthly!$C$50:$AL$50)</f>
        <v>192564.273988889</v>
      </c>
      <c r="C5" s="22" t="n">
        <f aca="false">SUMIF(Monthly!$C$5:$AL$5,C$3,Monthly!$C$50:$AL$50)</f>
        <v>265979.587302317</v>
      </c>
      <c r="D5" s="22" t="n">
        <f aca="false">SUMIF(Monthly!$C$5:$AL$5,D$3,Monthly!$C$50:$AL$50)</f>
        <v>355570.648118556</v>
      </c>
    </row>
    <row r="6" customFormat="false" ht="15" hidden="false" customHeight="false" outlineLevel="0" collapsed="false">
      <c r="A6" s="11" t="s">
        <v>221</v>
      </c>
      <c r="B6" s="22" t="n">
        <f aca="false">-SUMIF(Monthly!$C$5:$AL$5,B$3,Monthly!$C$55:$AL$55)</f>
        <v>4000</v>
      </c>
      <c r="C6" s="22" t="n">
        <f aca="false">-SUMIF(Monthly!$C$5:$AL$5,C$3,Monthly!$C$55:$AL$55)</f>
        <v>11560</v>
      </c>
      <c r="D6" s="22" t="n">
        <f aca="false">-SUMIF(Monthly!$C$5:$AL$5,D$3,Monthly!$C$55:$AL$55)</f>
        <v>20027.2</v>
      </c>
    </row>
    <row r="7" customFormat="false" ht="15" hidden="false" customHeight="false" outlineLevel="0" collapsed="false">
      <c r="A7" s="11" t="s">
        <v>196</v>
      </c>
      <c r="B7" s="22" t="n">
        <f aca="false">SUMIF(Monthly!$C$5:$AL$5,B$3,Monthly!$C$69:$AL$69)</f>
        <v>-44478.8888888889</v>
      </c>
      <c r="C7" s="22" t="n">
        <f aca="false">SUMIF(Monthly!$C$5:$AL$5,C$3,Monthly!$C$69:$AL$69)</f>
        <v>-8343.68833333334</v>
      </c>
      <c r="D7" s="22" t="n">
        <f aca="false">SUMIF(Monthly!$C$5:$AL$5,D$3,Monthly!$C$69:$AL$69)</f>
        <v>-9915.5094975</v>
      </c>
    </row>
    <row r="8" customFormat="false" ht="15" hidden="false" customHeight="false" outlineLevel="0" collapsed="false">
      <c r="A8" s="11" t="s">
        <v>197</v>
      </c>
      <c r="B8" s="22" t="n">
        <f aca="false">SUMIF(Monthly!$C$5:$AL$5,B$3,Monthly!$C$70:$AL$70)</f>
        <v>-14208.4722222222</v>
      </c>
      <c r="C8" s="22" t="n">
        <f aca="false">SUMIF(Monthly!$C$5:$AL$5,C$3,Monthly!$C$70:$AL$70)</f>
        <v>-2336.90770833333</v>
      </c>
      <c r="D8" s="22" t="n">
        <f aca="false">SUMIF(Monthly!$C$5:$AL$5,D$3,Monthly!$C$70:$AL$70)</f>
        <v>-2729.90964185416</v>
      </c>
    </row>
    <row r="9" customFormat="false" ht="15" hidden="false" customHeight="false" outlineLevel="0" collapsed="false">
      <c r="A9" s="11" t="s">
        <v>198</v>
      </c>
      <c r="B9" s="22" t="n">
        <f aca="false">SUMIF(Monthly!$C$5:$AL$5,B$3,Monthly!$C$71:$AL$71)</f>
        <v>56833.8888888889</v>
      </c>
      <c r="C9" s="22" t="n">
        <f aca="false">SUMIF(Monthly!$C$5:$AL$5,C$3,Monthly!$C$71:$AL$71)</f>
        <v>9347.63083333334</v>
      </c>
      <c r="D9" s="22" t="n">
        <f aca="false">SUMIF(Monthly!$C$5:$AL$5,D$3,Monthly!$C$71:$AL$71)</f>
        <v>10919.6385674167</v>
      </c>
    </row>
    <row r="10" customFormat="false" ht="15" hidden="false" customHeight="false" outlineLevel="0" collapsed="false">
      <c r="A10" s="4" t="s">
        <v>200</v>
      </c>
      <c r="B10" s="35" t="n">
        <f aca="false">SUMIF(Monthly!$C$5:$AL$5,B$3,Monthly!$C$74:$AL$74)</f>
        <v>194710.801766667</v>
      </c>
      <c r="C10" s="35" t="n">
        <f aca="false">SUMIF(Monthly!$C$5:$AL$5,C$3,Monthly!$C$74:$AL$74)</f>
        <v>276206.622093983</v>
      </c>
      <c r="D10" s="35" t="n">
        <f aca="false">SUMIF(Monthly!$C$5:$AL$5,D$3,Monthly!$C$74:$AL$74)</f>
        <v>373872.067546618</v>
      </c>
    </row>
    <row r="11" customFormat="false" ht="15" hidden="false" customHeight="false" outlineLevel="0" collapsed="false">
      <c r="A11" s="11" t="s">
        <v>222</v>
      </c>
      <c r="B11" s="22" t="n">
        <f aca="false">SUMIF(Monthly!$C$5:$AL$5,B$3,Monthly!$C$75:$AL$75)</f>
        <v>-20000</v>
      </c>
      <c r="C11" s="22" t="n">
        <f aca="false">SUMIF(Monthly!$C$5:$AL$5,C$3,Monthly!$C$75:$AL$75)</f>
        <v>-37800</v>
      </c>
      <c r="D11" s="22" t="n">
        <f aca="false">SUMIF(Monthly!$C$5:$AL$5,D$3,Monthly!$C$75:$AL$75)</f>
        <v>-42336</v>
      </c>
    </row>
    <row r="12" customFormat="false" ht="15" hidden="false" customHeight="false" outlineLevel="0" collapsed="false">
      <c r="A12" s="11" t="s">
        <v>202</v>
      </c>
      <c r="B12" s="22" t="n">
        <f aca="false">SUMIF(Monthly!$C$5:$AL$5,B$3,Monthly!$C$76:$AL$76)</f>
        <v>100000</v>
      </c>
      <c r="C12" s="22" t="n">
        <f aca="false">SUMIF(Monthly!$C$5:$AL$5,C$3,Monthly!$C$76:$AL$76)</f>
        <v>0</v>
      </c>
      <c r="D12" s="22" t="n">
        <f aca="false">SUMIF(Monthly!$C$5:$AL$5,D$3,Monthly!$C$76:$AL$76)</f>
        <v>0</v>
      </c>
    </row>
    <row r="13" customFormat="false" ht="15" hidden="false" customHeight="false" outlineLevel="0" collapsed="false">
      <c r="A13" s="11" t="s">
        <v>190</v>
      </c>
      <c r="B13" s="22" t="n">
        <f aca="false">SUMIF(Monthly!$C$5:$AL$5,B$3,Monthly!$C$61:$AL$61)</f>
        <v>250000</v>
      </c>
      <c r="C13" s="22" t="n">
        <f aca="false">SUMIF(Monthly!$C$5:$AL$5,C$3,Monthly!$C$61:$AL$61)</f>
        <v>0</v>
      </c>
      <c r="D13" s="22" t="n">
        <f aca="false">SUMIF(Monthly!$C$5:$AL$5,D$3,Monthly!$C$61:$AL$61)</f>
        <v>0</v>
      </c>
    </row>
    <row r="14" customFormat="false" ht="15" hidden="false" customHeight="false" outlineLevel="0" collapsed="false">
      <c r="A14" s="11" t="s">
        <v>191</v>
      </c>
      <c r="B14" s="22" t="n">
        <f aca="false">SUMIF(Monthly!$C$5:$AL$5,B$3,Monthly!$C$62:$AL$62)</f>
        <v>-45833.3333333333</v>
      </c>
      <c r="C14" s="22" t="n">
        <f aca="false">SUMIF(Monthly!$C$5:$AL$5,C$3,Monthly!$C$62:$AL$62)</f>
        <v>-50000</v>
      </c>
      <c r="D14" s="22" t="n">
        <f aca="false">SUMIF(Monthly!$C$5:$AL$5,D$3,Monthly!$C$62:$AL$62)</f>
        <v>-50000</v>
      </c>
    </row>
    <row r="15" customFormat="false" ht="15" hidden="false" customHeight="false" outlineLevel="0" collapsed="false">
      <c r="A15" s="4" t="s">
        <v>203</v>
      </c>
      <c r="B15" s="35" t="n">
        <f aca="false">SUMIF(Monthly!$C$5:$AL$5,B$3,Monthly!$C$77:$AL$77)</f>
        <v>304166.666666667</v>
      </c>
      <c r="C15" s="35" t="n">
        <f aca="false">SUMIF(Monthly!$C$5:$AL$5,C$3,Monthly!$C$77:$AL$77)</f>
        <v>-50000</v>
      </c>
      <c r="D15" s="35" t="n">
        <f aca="false">SUMIF(Monthly!$C$5:$AL$5,D$3,Monthly!$C$77:$AL$77)</f>
        <v>-50000</v>
      </c>
    </row>
    <row r="16" customFormat="false" ht="15" hidden="false" customHeight="false" outlineLevel="0" collapsed="false">
      <c r="A16" s="4" t="s">
        <v>223</v>
      </c>
      <c r="B16" s="15" t="n">
        <f aca="false">SUMIF(Monthly!$C$5:$AL$5,B$3,Monthly!$C$78:$AL$78)</f>
        <v>478877.468433333</v>
      </c>
      <c r="C16" s="15" t="n">
        <f aca="false">SUMIF(Monthly!$C$5:$AL$5,C$3,Monthly!$C$78:$AL$78)</f>
        <v>188406.622093983</v>
      </c>
      <c r="D16" s="15" t="n">
        <f aca="false">SUMIF(Monthly!$C$5:$AL$5,D$3,Monthly!$C$78:$AL$78)</f>
        <v>281536.067546618</v>
      </c>
    </row>
    <row r="17" customFormat="false" ht="15" hidden="false" customHeight="false" outlineLevel="0" collapsed="false">
      <c r="A17" s="11" t="s">
        <v>205</v>
      </c>
      <c r="B17" s="22" t="n">
        <f aca="false">INDEX(Monthly!$C$79:$AL$79,(B$3-1)*12+1)</f>
        <v>0</v>
      </c>
      <c r="C17" s="22" t="n">
        <f aca="false">INDEX(Monthly!$C$79:$AL$79,(C$3-1)*12+1)</f>
        <v>478877.468433333</v>
      </c>
      <c r="D17" s="22" t="n">
        <f aca="false">INDEX(Monthly!$C$79:$AL$79,(D$3-1)*12+1)</f>
        <v>667284.090527316</v>
      </c>
    </row>
    <row r="18" customFormat="false" ht="15" hidden="false" customHeight="false" outlineLevel="0" collapsed="false">
      <c r="A18" s="4" t="s">
        <v>206</v>
      </c>
      <c r="B18" s="35" t="n">
        <f aca="false">INDEX(Monthly!$C$80:$AL$80,B$3*12)</f>
        <v>478877.468433333</v>
      </c>
      <c r="C18" s="35" t="n">
        <f aca="false">INDEX(Monthly!$C$80:$AL$80,C$3*12)</f>
        <v>667284.090527316</v>
      </c>
      <c r="D18" s="35" t="n">
        <f aca="false">INDEX(Monthly!$C$80:$AL$80,D$3*12)</f>
        <v>948820.158073935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224</v>
      </c>
      <c r="B1" s="2"/>
      <c r="C1" s="2"/>
      <c r="D1" s="2"/>
    </row>
    <row r="2" customFormat="false" ht="15" hidden="false" customHeight="false" outlineLevel="0" collapsed="false">
      <c r="A2" s="3" t="s">
        <v>217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225</v>
      </c>
      <c r="B5" s="22" t="n">
        <f aca="false">INDEX(Monthly!$C$80:$AL$80,B$3*12)</f>
        <v>478877.468433333</v>
      </c>
      <c r="C5" s="22" t="n">
        <f aca="false">INDEX(Monthly!$C$80:$AL$80,C$3*12)</f>
        <v>667284.090527316</v>
      </c>
      <c r="D5" s="22" t="n">
        <f aca="false">INDEX(Monthly!$C$80:$AL$80,D$3*12)</f>
        <v>948820.158073935</v>
      </c>
    </row>
    <row r="6" customFormat="false" ht="15" hidden="false" customHeight="false" outlineLevel="0" collapsed="false">
      <c r="A6" s="11" t="s">
        <v>193</v>
      </c>
      <c r="B6" s="22" t="n">
        <f aca="false">INDEX(Monthly!$C$66:$AL$66,B$3*12)</f>
        <v>44478.8888888889</v>
      </c>
      <c r="C6" s="22" t="n">
        <f aca="false">INDEX(Monthly!$C$66:$AL$66,C$3*12)</f>
        <v>52822.5772222222</v>
      </c>
      <c r="D6" s="22" t="n">
        <f aca="false">INDEX(Monthly!$C$66:$AL$66,D$3*12)</f>
        <v>62738.0867197222</v>
      </c>
    </row>
    <row r="7" customFormat="false" ht="15" hidden="false" customHeight="false" outlineLevel="0" collapsed="false">
      <c r="A7" s="11" t="s">
        <v>194</v>
      </c>
      <c r="B7" s="22" t="n">
        <f aca="false">INDEX(Monthly!$C$67:$AL$67,B$3*12)</f>
        <v>14208.4722222222</v>
      </c>
      <c r="C7" s="22" t="n">
        <f aca="false">INDEX(Monthly!$C$67:$AL$67,C$3*12)</f>
        <v>16545.3799305556</v>
      </c>
      <c r="D7" s="22" t="n">
        <f aca="false">INDEX(Monthly!$C$67:$AL$67,D$3*12)</f>
        <v>19275.2895724097</v>
      </c>
    </row>
    <row r="8" customFormat="false" ht="15" hidden="false" customHeight="false" outlineLevel="0" collapsed="false">
      <c r="A8" s="11" t="s">
        <v>187</v>
      </c>
      <c r="B8" s="22" t="n">
        <f aca="false">INDEX(Monthly!$C$57:$AL$57,B$3*12)</f>
        <v>16000</v>
      </c>
      <c r="C8" s="22" t="n">
        <f aca="false">INDEX(Monthly!$C$57:$AL$57,C$3*12)</f>
        <v>42240</v>
      </c>
      <c r="D8" s="22" t="n">
        <f aca="false">INDEX(Monthly!$C$57:$AL$57,D$3*12)</f>
        <v>64548.8</v>
      </c>
    </row>
    <row r="9" customFormat="false" ht="15" hidden="false" customHeight="false" outlineLevel="0" collapsed="false">
      <c r="A9" s="4" t="s">
        <v>211</v>
      </c>
      <c r="B9" s="35" t="n">
        <f aca="false">INDEX(Monthly!$C$86:$AL$86,B$3*12)</f>
        <v>553564.829544445</v>
      </c>
      <c r="C9" s="35" t="n">
        <f aca="false">INDEX(Monthly!$C$86:$AL$86,C$3*12)</f>
        <v>778892.047680094</v>
      </c>
      <c r="D9" s="35" t="n">
        <f aca="false">INDEX(Monthly!$C$86:$AL$86,D$3*12)</f>
        <v>1095382.33436607</v>
      </c>
    </row>
    <row r="10" customFormat="false" ht="15" hidden="false" customHeight="false" outlineLevel="0" collapsed="false">
      <c r="A10" s="11" t="s">
        <v>195</v>
      </c>
      <c r="B10" s="22" t="n">
        <f aca="false">INDEX(Monthly!$C$68:$AL$68,B$3*12)</f>
        <v>56833.8888888889</v>
      </c>
      <c r="C10" s="22" t="n">
        <f aca="false">INDEX(Monthly!$C$68:$AL$68,C$3*12)</f>
        <v>66181.5197222222</v>
      </c>
      <c r="D10" s="22" t="n">
        <f aca="false">INDEX(Monthly!$C$68:$AL$68,D$3*12)</f>
        <v>77101.1582896389</v>
      </c>
    </row>
    <row r="11" customFormat="false" ht="15" hidden="false" customHeight="false" outlineLevel="0" collapsed="false">
      <c r="A11" s="11" t="s">
        <v>226</v>
      </c>
      <c r="B11" s="22" t="n">
        <f aca="false">INDEX(Monthly!$C$63:$AL$63,B$3*12)</f>
        <v>204166.666666667</v>
      </c>
      <c r="C11" s="22" t="n">
        <f aca="false">INDEX(Monthly!$C$63:$AL$63,C$3*12)</f>
        <v>154166.666666667</v>
      </c>
      <c r="D11" s="22" t="n">
        <f aca="false">INDEX(Monthly!$C$63:$AL$63,D$3*12)</f>
        <v>104166.666666667</v>
      </c>
    </row>
    <row r="12" customFormat="false" ht="15" hidden="false" customHeight="false" outlineLevel="0" collapsed="false">
      <c r="A12" s="11" t="s">
        <v>212</v>
      </c>
      <c r="B12" s="36" t="n">
        <f aca="false">INDEX(Monthly!$C$87:$AL$87,B$3*12)</f>
        <v>261000.555555556</v>
      </c>
      <c r="C12" s="36" t="n">
        <f aca="false">INDEX(Monthly!$C$87:$AL$87,C$3*12)</f>
        <v>220348.186388889</v>
      </c>
      <c r="D12" s="36" t="n">
        <f aca="false">INDEX(Monthly!$C$87:$AL$87,D$3*12)</f>
        <v>181267.824956306</v>
      </c>
    </row>
    <row r="13" customFormat="false" ht="15" hidden="false" customHeight="false" outlineLevel="0" collapsed="false">
      <c r="A13" s="11" t="s">
        <v>209</v>
      </c>
      <c r="B13" s="22" t="n">
        <f aca="false">INDEX(Monthly!$C$84:$AL$84,B$3*12)</f>
        <v>100000</v>
      </c>
      <c r="C13" s="22" t="n">
        <f aca="false">INDEX(Monthly!$C$84:$AL$84,C$3*12)</f>
        <v>100000</v>
      </c>
      <c r="D13" s="22" t="n">
        <f aca="false">INDEX(Monthly!$C$84:$AL$84,D$3*12)</f>
        <v>100000</v>
      </c>
    </row>
    <row r="14" customFormat="false" ht="15" hidden="false" customHeight="false" outlineLevel="0" collapsed="false">
      <c r="A14" s="11" t="s">
        <v>210</v>
      </c>
      <c r="B14" s="22" t="n">
        <f aca="false">INDEX(Monthly!$C$85:$AL$85,B$3*12)</f>
        <v>192564.273988889</v>
      </c>
      <c r="C14" s="22" t="n">
        <f aca="false">INDEX(Monthly!$C$85:$AL$85,C$3*12)</f>
        <v>458543.861291206</v>
      </c>
      <c r="D14" s="22" t="n">
        <f aca="false">INDEX(Monthly!$C$85:$AL$85,D$3*12)</f>
        <v>814114.509409761</v>
      </c>
    </row>
    <row r="15" customFormat="false" ht="15" hidden="false" customHeight="false" outlineLevel="0" collapsed="false">
      <c r="A15" s="11" t="s">
        <v>213</v>
      </c>
      <c r="B15" s="36" t="n">
        <f aca="false">INDEX(Monthly!$C$88:$AL$88,B$3*12)</f>
        <v>292564.273988889</v>
      </c>
      <c r="C15" s="36" t="n">
        <f aca="false">INDEX(Monthly!$C$88:$AL$88,C$3*12)</f>
        <v>558543.861291206</v>
      </c>
      <c r="D15" s="36" t="n">
        <f aca="false">INDEX(Monthly!$C$88:$AL$88,D$3*12)</f>
        <v>914114.509409761</v>
      </c>
    </row>
    <row r="16" customFormat="false" ht="15" hidden="false" customHeight="false" outlineLevel="0" collapsed="false">
      <c r="A16" s="4" t="s">
        <v>214</v>
      </c>
      <c r="B16" s="35" t="n">
        <f aca="false">INDEX(Monthly!$C$89:$AL$89,B$3*12)</f>
        <v>553564.829544445</v>
      </c>
      <c r="C16" s="35" t="n">
        <f aca="false">INDEX(Monthly!$C$89:$AL$89,C$3*12)</f>
        <v>778892.047680095</v>
      </c>
      <c r="D16" s="35" t="n">
        <f aca="false">INDEX(Monthly!$C$89:$AL$89,D$3*12)</f>
        <v>1095382.33436607</v>
      </c>
    </row>
    <row r="17" customFormat="false" ht="15" hidden="false" customHeight="false" outlineLevel="0" collapsed="false">
      <c r="A17" s="11" t="s">
        <v>227</v>
      </c>
      <c r="B17" s="22" t="n">
        <f aca="false">INDEX(Monthly!$C$90:$AL$90,B$3*12)</f>
        <v>0</v>
      </c>
      <c r="C17" s="22" t="n">
        <f aca="false">INDEX(Monthly!$C$90:$AL$90,C$3*12)</f>
        <v>0</v>
      </c>
      <c r="D17" s="22" t="n">
        <f aca="false">INDEX(Monthly!$C$90:$AL$90,D$3*12)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228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113</v>
      </c>
    </row>
    <row r="3" customFormat="false" ht="15" hidden="false" customHeight="false" outlineLevel="0" collapsed="false">
      <c r="A3" s="4" t="s">
        <v>114</v>
      </c>
      <c r="C3" s="9" t="s">
        <v>115</v>
      </c>
      <c r="D3" s="9" t="s">
        <v>116</v>
      </c>
      <c r="E3" s="9" t="s">
        <v>117</v>
      </c>
      <c r="F3" s="9" t="s">
        <v>118</v>
      </c>
      <c r="G3" s="9" t="s">
        <v>119</v>
      </c>
      <c r="H3" s="9" t="s">
        <v>120</v>
      </c>
      <c r="I3" s="9" t="s">
        <v>121</v>
      </c>
      <c r="J3" s="9" t="s">
        <v>122</v>
      </c>
      <c r="K3" s="9" t="s">
        <v>123</v>
      </c>
      <c r="L3" s="9" t="s">
        <v>124</v>
      </c>
      <c r="M3" s="9" t="s">
        <v>125</v>
      </c>
      <c r="N3" s="9" t="s">
        <v>126</v>
      </c>
      <c r="O3" s="9" t="s">
        <v>127</v>
      </c>
      <c r="P3" s="9" t="s">
        <v>128</v>
      </c>
      <c r="Q3" s="9" t="s">
        <v>129</v>
      </c>
      <c r="R3" s="9" t="s">
        <v>130</v>
      </c>
      <c r="S3" s="9" t="s">
        <v>131</v>
      </c>
      <c r="T3" s="9" t="s">
        <v>132</v>
      </c>
      <c r="U3" s="9" t="s">
        <v>133</v>
      </c>
      <c r="V3" s="9" t="s">
        <v>134</v>
      </c>
      <c r="W3" s="9" t="s">
        <v>135</v>
      </c>
      <c r="X3" s="9" t="s">
        <v>136</v>
      </c>
      <c r="Y3" s="9" t="s">
        <v>137</v>
      </c>
      <c r="Z3" s="9" t="s">
        <v>138</v>
      </c>
      <c r="AA3" s="9" t="s">
        <v>139</v>
      </c>
      <c r="AB3" s="9" t="s">
        <v>140</v>
      </c>
      <c r="AC3" s="9" t="s">
        <v>141</v>
      </c>
      <c r="AD3" s="9" t="s">
        <v>142</v>
      </c>
      <c r="AE3" s="9" t="s">
        <v>143</v>
      </c>
      <c r="AF3" s="9" t="s">
        <v>144</v>
      </c>
      <c r="AG3" s="9" t="s">
        <v>145</v>
      </c>
      <c r="AH3" s="9" t="s">
        <v>146</v>
      </c>
      <c r="AI3" s="9" t="s">
        <v>147</v>
      </c>
      <c r="AJ3" s="9" t="s">
        <v>148</v>
      </c>
      <c r="AK3" s="9" t="s">
        <v>149</v>
      </c>
      <c r="AL3" s="9" t="s">
        <v>150</v>
      </c>
    </row>
    <row r="4" customFormat="false" ht="15" hidden="false" customHeight="false" outlineLevel="0" collapsed="false">
      <c r="A4" s="17" t="s">
        <v>151</v>
      </c>
      <c r="C4" s="33" t="n">
        <v>1</v>
      </c>
      <c r="D4" s="33" t="n">
        <v>2</v>
      </c>
      <c r="E4" s="33" t="n">
        <v>3</v>
      </c>
      <c r="F4" s="33" t="n">
        <v>4</v>
      </c>
      <c r="G4" s="33" t="n">
        <v>5</v>
      </c>
      <c r="H4" s="33" t="n">
        <v>6</v>
      </c>
      <c r="I4" s="33" t="n">
        <v>7</v>
      </c>
      <c r="J4" s="33" t="n">
        <v>8</v>
      </c>
      <c r="K4" s="33" t="n">
        <v>9</v>
      </c>
      <c r="L4" s="33" t="n">
        <v>10</v>
      </c>
      <c r="M4" s="33" t="n">
        <v>11</v>
      </c>
      <c r="N4" s="33" t="n">
        <v>12</v>
      </c>
      <c r="O4" s="33" t="n">
        <v>13</v>
      </c>
      <c r="P4" s="33" t="n">
        <v>14</v>
      </c>
      <c r="Q4" s="33" t="n">
        <v>15</v>
      </c>
      <c r="R4" s="33" t="n">
        <v>16</v>
      </c>
      <c r="S4" s="33" t="n">
        <v>17</v>
      </c>
      <c r="T4" s="33" t="n">
        <v>18</v>
      </c>
      <c r="U4" s="33" t="n">
        <v>19</v>
      </c>
      <c r="V4" s="33" t="n">
        <v>20</v>
      </c>
      <c r="W4" s="33" t="n">
        <v>21</v>
      </c>
      <c r="X4" s="33" t="n">
        <v>22</v>
      </c>
      <c r="Y4" s="33" t="n">
        <v>23</v>
      </c>
      <c r="Z4" s="33" t="n">
        <v>24</v>
      </c>
      <c r="AA4" s="33" t="n">
        <v>25</v>
      </c>
      <c r="AB4" s="33" t="n">
        <v>26</v>
      </c>
      <c r="AC4" s="33" t="n">
        <v>27</v>
      </c>
      <c r="AD4" s="33" t="n">
        <v>28</v>
      </c>
      <c r="AE4" s="33" t="n">
        <v>29</v>
      </c>
      <c r="AF4" s="33" t="n">
        <v>30</v>
      </c>
      <c r="AG4" s="33" t="n">
        <v>31</v>
      </c>
      <c r="AH4" s="33" t="n">
        <v>32</v>
      </c>
      <c r="AI4" s="33" t="n">
        <v>33</v>
      </c>
      <c r="AJ4" s="33" t="n">
        <v>34</v>
      </c>
      <c r="AK4" s="33" t="n">
        <v>35</v>
      </c>
      <c r="AL4" s="33" t="n">
        <v>36</v>
      </c>
    </row>
    <row r="5" customFormat="false" ht="15" hidden="false" customHeight="false" outlineLevel="0" collapsed="false">
      <c r="A5" s="17" t="s">
        <v>21</v>
      </c>
      <c r="C5" s="17" t="n">
        <f aca="false">ROUNDUP(C4*1/12,0)</f>
        <v>1</v>
      </c>
      <c r="D5" s="17" t="n">
        <f aca="false">ROUNDUP(D4*1/12,0)</f>
        <v>1</v>
      </c>
      <c r="E5" s="17" t="n">
        <f aca="false">ROUNDUP(E4*1/12,0)</f>
        <v>1</v>
      </c>
      <c r="F5" s="17" t="n">
        <f aca="false">ROUNDUP(F4*1/12,0)</f>
        <v>1</v>
      </c>
      <c r="G5" s="17" t="n">
        <f aca="false">ROUNDUP(G4*1/12,0)</f>
        <v>1</v>
      </c>
      <c r="H5" s="17" t="n">
        <f aca="false">ROUNDUP(H4*1/12,0)</f>
        <v>1</v>
      </c>
      <c r="I5" s="17" t="n">
        <f aca="false">ROUNDUP(I4*1/12,0)</f>
        <v>1</v>
      </c>
      <c r="J5" s="17" t="n">
        <f aca="false">ROUNDUP(J4*1/12,0)</f>
        <v>1</v>
      </c>
      <c r="K5" s="17" t="n">
        <f aca="false">ROUNDUP(K4*1/12,0)</f>
        <v>1</v>
      </c>
      <c r="L5" s="17" t="n">
        <f aca="false">ROUNDUP(L4*1/12,0)</f>
        <v>1</v>
      </c>
      <c r="M5" s="17" t="n">
        <f aca="false">ROUNDUP(M4*1/12,0)</f>
        <v>1</v>
      </c>
      <c r="N5" s="17" t="n">
        <f aca="false">ROUNDUP(N4*1/12,0)</f>
        <v>1</v>
      </c>
      <c r="O5" s="17" t="n">
        <f aca="false">ROUNDUP(O4*1/12,0)</f>
        <v>2</v>
      </c>
      <c r="P5" s="17" t="n">
        <f aca="false">ROUNDUP(P4*1/12,0)</f>
        <v>2</v>
      </c>
      <c r="Q5" s="17" t="n">
        <f aca="false">ROUNDUP(Q4*1/12,0)</f>
        <v>2</v>
      </c>
      <c r="R5" s="17" t="n">
        <f aca="false">ROUNDUP(R4*1/12,0)</f>
        <v>2</v>
      </c>
      <c r="S5" s="17" t="n">
        <f aca="false">ROUNDUP(S4*1/12,0)</f>
        <v>2</v>
      </c>
      <c r="T5" s="17" t="n">
        <f aca="false">ROUNDUP(T4*1/12,0)</f>
        <v>2</v>
      </c>
      <c r="U5" s="17" t="n">
        <f aca="false">ROUNDUP(U4*1/12,0)</f>
        <v>2</v>
      </c>
      <c r="V5" s="17" t="n">
        <f aca="false">ROUNDUP(V4*1/12,0)</f>
        <v>2</v>
      </c>
      <c r="W5" s="17" t="n">
        <f aca="false">ROUNDUP(W4*1/12,0)</f>
        <v>2</v>
      </c>
      <c r="X5" s="17" t="n">
        <f aca="false">ROUNDUP(X4*1/12,0)</f>
        <v>2</v>
      </c>
      <c r="Y5" s="17" t="n">
        <f aca="false">ROUNDUP(Y4*1/12,0)</f>
        <v>2</v>
      </c>
      <c r="Z5" s="17" t="n">
        <f aca="false">ROUNDUP(Z4*1/12,0)</f>
        <v>2</v>
      </c>
      <c r="AA5" s="17" t="n">
        <f aca="false">ROUNDUP(AA4*1/12,0)</f>
        <v>3</v>
      </c>
      <c r="AB5" s="17" t="n">
        <f aca="false">ROUNDUP(AB4*1/12,0)</f>
        <v>3</v>
      </c>
      <c r="AC5" s="17" t="n">
        <f aca="false">ROUNDUP(AC4*1/12,0)</f>
        <v>3</v>
      </c>
      <c r="AD5" s="17" t="n">
        <f aca="false">ROUNDUP(AD4*1/12,0)</f>
        <v>3</v>
      </c>
      <c r="AE5" s="17" t="n">
        <f aca="false">ROUNDUP(AE4*1/12,0)</f>
        <v>3</v>
      </c>
      <c r="AF5" s="17" t="n">
        <f aca="false">ROUNDUP(AF4*1/12,0)</f>
        <v>3</v>
      </c>
      <c r="AG5" s="17" t="n">
        <f aca="false">ROUNDUP(AG4*1/12,0)</f>
        <v>3</v>
      </c>
      <c r="AH5" s="17" t="n">
        <f aca="false">ROUNDUP(AH4*1/12,0)</f>
        <v>3</v>
      </c>
      <c r="AI5" s="17" t="n">
        <f aca="false">ROUNDUP(AI4*1/12,0)</f>
        <v>3</v>
      </c>
      <c r="AJ5" s="17" t="n">
        <f aca="false">ROUNDUP(AJ4*1/12,0)</f>
        <v>3</v>
      </c>
      <c r="AK5" s="17" t="n">
        <f aca="false">ROUNDUP(AK4*1/12,0)</f>
        <v>3</v>
      </c>
      <c r="AL5" s="17" t="n">
        <f aca="false">ROUNDUP(AL4*1/12,0)</f>
        <v>3</v>
      </c>
    </row>
    <row r="7" customFormat="false" ht="15" hidden="false" customHeight="false" outlineLevel="0" collapsed="false">
      <c r="A7" s="7" t="s">
        <v>229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230</v>
      </c>
      <c r="C8" s="13" t="n">
        <f aca="false">Inputs!$E$42*(1+Inputs!$E$44)^(C$5-1)*MAX(0,MIN(1,C$4*1-Inputs!$E$45+1))/1</f>
        <v>7</v>
      </c>
      <c r="D8" s="13" t="n">
        <f aca="false">Inputs!$E$42*(1+Inputs!$E$44)^(D$5-1)*MAX(0,MIN(1,D$4*1-Inputs!$E$45+1))/1</f>
        <v>7</v>
      </c>
      <c r="E8" s="13" t="n">
        <f aca="false">Inputs!$E$42*(1+Inputs!$E$44)^(E$5-1)*MAX(0,MIN(1,E$4*1-Inputs!$E$45+1))/1</f>
        <v>7</v>
      </c>
      <c r="F8" s="13" t="n">
        <f aca="false">Inputs!$E$42*(1+Inputs!$E$44)^(F$5-1)*MAX(0,MIN(1,F$4*1-Inputs!$E$45+1))/1</f>
        <v>7</v>
      </c>
      <c r="G8" s="13" t="n">
        <f aca="false">Inputs!$E$42*(1+Inputs!$E$44)^(G$5-1)*MAX(0,MIN(1,G$4*1-Inputs!$E$45+1))/1</f>
        <v>7</v>
      </c>
      <c r="H8" s="13" t="n">
        <f aca="false">Inputs!$E$42*(1+Inputs!$E$44)^(H$5-1)*MAX(0,MIN(1,H$4*1-Inputs!$E$45+1))/1</f>
        <v>7</v>
      </c>
      <c r="I8" s="13" t="n">
        <f aca="false">Inputs!$E$42*(1+Inputs!$E$44)^(I$5-1)*MAX(0,MIN(1,I$4*1-Inputs!$E$45+1))/1</f>
        <v>7</v>
      </c>
      <c r="J8" s="13" t="n">
        <f aca="false">Inputs!$E$42*(1+Inputs!$E$44)^(J$5-1)*MAX(0,MIN(1,J$4*1-Inputs!$E$45+1))/1</f>
        <v>7</v>
      </c>
      <c r="K8" s="13" t="n">
        <f aca="false">Inputs!$E$42*(1+Inputs!$E$44)^(K$5-1)*MAX(0,MIN(1,K$4*1-Inputs!$E$45+1))/1</f>
        <v>7</v>
      </c>
      <c r="L8" s="13" t="n">
        <f aca="false">Inputs!$E$42*(1+Inputs!$E$44)^(L$5-1)*MAX(0,MIN(1,L$4*1-Inputs!$E$45+1))/1</f>
        <v>7</v>
      </c>
      <c r="M8" s="13" t="n">
        <f aca="false">Inputs!$E$42*(1+Inputs!$E$44)^(M$5-1)*MAX(0,MIN(1,M$4*1-Inputs!$E$45+1))/1</f>
        <v>7</v>
      </c>
      <c r="N8" s="13" t="n">
        <f aca="false">Inputs!$E$42*(1+Inputs!$E$44)^(N$5-1)*MAX(0,MIN(1,N$4*1-Inputs!$E$45+1))/1</f>
        <v>7</v>
      </c>
      <c r="O8" s="13" t="n">
        <f aca="false">Inputs!$E$42*(1+Inputs!$E$44)^(O$5-1)*MAX(0,MIN(1,O$4*1-Inputs!$E$45+1))/1</f>
        <v>7.84</v>
      </c>
      <c r="P8" s="13" t="n">
        <f aca="false">Inputs!$E$42*(1+Inputs!$E$44)^(P$5-1)*MAX(0,MIN(1,P$4*1-Inputs!$E$45+1))/1</f>
        <v>7.84</v>
      </c>
      <c r="Q8" s="13" t="n">
        <f aca="false">Inputs!$E$42*(1+Inputs!$E$44)^(Q$5-1)*MAX(0,MIN(1,Q$4*1-Inputs!$E$45+1))/1</f>
        <v>7.84</v>
      </c>
      <c r="R8" s="13" t="n">
        <f aca="false">Inputs!$E$42*(1+Inputs!$E$44)^(R$5-1)*MAX(0,MIN(1,R$4*1-Inputs!$E$45+1))/1</f>
        <v>7.84</v>
      </c>
      <c r="S8" s="13" t="n">
        <f aca="false">Inputs!$E$42*(1+Inputs!$E$44)^(S$5-1)*MAX(0,MIN(1,S$4*1-Inputs!$E$45+1))/1</f>
        <v>7.84</v>
      </c>
      <c r="T8" s="13" t="n">
        <f aca="false">Inputs!$E$42*(1+Inputs!$E$44)^(T$5-1)*MAX(0,MIN(1,T$4*1-Inputs!$E$45+1))/1</f>
        <v>7.84</v>
      </c>
      <c r="U8" s="13" t="n">
        <f aca="false">Inputs!$E$42*(1+Inputs!$E$44)^(U$5-1)*MAX(0,MIN(1,U$4*1-Inputs!$E$45+1))/1</f>
        <v>7.84</v>
      </c>
      <c r="V8" s="13" t="n">
        <f aca="false">Inputs!$E$42*(1+Inputs!$E$44)^(V$5-1)*MAX(0,MIN(1,V$4*1-Inputs!$E$45+1))/1</f>
        <v>7.84</v>
      </c>
      <c r="W8" s="13" t="n">
        <f aca="false">Inputs!$E$42*(1+Inputs!$E$44)^(W$5-1)*MAX(0,MIN(1,W$4*1-Inputs!$E$45+1))/1</f>
        <v>7.84</v>
      </c>
      <c r="X8" s="13" t="n">
        <f aca="false">Inputs!$E$42*(1+Inputs!$E$44)^(X$5-1)*MAX(0,MIN(1,X$4*1-Inputs!$E$45+1))/1</f>
        <v>7.84</v>
      </c>
      <c r="Y8" s="13" t="n">
        <f aca="false">Inputs!$E$42*(1+Inputs!$E$44)^(Y$5-1)*MAX(0,MIN(1,Y$4*1-Inputs!$E$45+1))/1</f>
        <v>7.84</v>
      </c>
      <c r="Z8" s="13" t="n">
        <f aca="false">Inputs!$E$42*(1+Inputs!$E$44)^(Z$5-1)*MAX(0,MIN(1,Z$4*1-Inputs!$E$45+1))/1</f>
        <v>7.84</v>
      </c>
      <c r="AA8" s="13" t="n">
        <f aca="false">Inputs!$E$42*(1+Inputs!$E$44)^(AA$5-1)*MAX(0,MIN(1,AA$4*1-Inputs!$E$45+1))/1</f>
        <v>8.7808</v>
      </c>
      <c r="AB8" s="13" t="n">
        <f aca="false">Inputs!$E$42*(1+Inputs!$E$44)^(AB$5-1)*MAX(0,MIN(1,AB$4*1-Inputs!$E$45+1))/1</f>
        <v>8.7808</v>
      </c>
      <c r="AC8" s="13" t="n">
        <f aca="false">Inputs!$E$42*(1+Inputs!$E$44)^(AC$5-1)*MAX(0,MIN(1,AC$4*1-Inputs!$E$45+1))/1</f>
        <v>8.7808</v>
      </c>
      <c r="AD8" s="13" t="n">
        <f aca="false">Inputs!$E$42*(1+Inputs!$E$44)^(AD$5-1)*MAX(0,MIN(1,AD$4*1-Inputs!$E$45+1))/1</f>
        <v>8.7808</v>
      </c>
      <c r="AE8" s="13" t="n">
        <f aca="false">Inputs!$E$42*(1+Inputs!$E$44)^(AE$5-1)*MAX(0,MIN(1,AE$4*1-Inputs!$E$45+1))/1</f>
        <v>8.7808</v>
      </c>
      <c r="AF8" s="13" t="n">
        <f aca="false">Inputs!$E$42*(1+Inputs!$E$44)^(AF$5-1)*MAX(0,MIN(1,AF$4*1-Inputs!$E$45+1))/1</f>
        <v>8.7808</v>
      </c>
      <c r="AG8" s="13" t="n">
        <f aca="false">Inputs!$E$42*(1+Inputs!$E$44)^(AG$5-1)*MAX(0,MIN(1,AG$4*1-Inputs!$E$45+1))/1</f>
        <v>8.7808</v>
      </c>
      <c r="AH8" s="13" t="n">
        <f aca="false">Inputs!$E$42*(1+Inputs!$E$44)^(AH$5-1)*MAX(0,MIN(1,AH$4*1-Inputs!$E$45+1))/1</f>
        <v>8.7808</v>
      </c>
      <c r="AI8" s="13" t="n">
        <f aca="false">Inputs!$E$42*(1+Inputs!$E$44)^(AI$5-1)*MAX(0,MIN(1,AI$4*1-Inputs!$E$45+1))/1</f>
        <v>8.7808</v>
      </c>
      <c r="AJ8" s="13" t="n">
        <f aca="false">Inputs!$E$42*(1+Inputs!$E$44)^(AJ$5-1)*MAX(0,MIN(1,AJ$4*1-Inputs!$E$45+1))/1</f>
        <v>8.7808</v>
      </c>
      <c r="AK8" s="13" t="n">
        <f aca="false">Inputs!$E$42*(1+Inputs!$E$44)^(AK$5-1)*MAX(0,MIN(1,AK$4*1-Inputs!$E$45+1))/1</f>
        <v>8.7808</v>
      </c>
      <c r="AL8" s="13" t="n">
        <f aca="false">Inputs!$E$42*(1+Inputs!$E$44)^(AL$5-1)*MAX(0,MIN(1,AL$4*1-Inputs!$E$45+1))/1</f>
        <v>8.7808</v>
      </c>
    </row>
    <row r="9" customFormat="false" ht="15" hidden="false" customHeight="false" outlineLevel="0" collapsed="false">
      <c r="A9" s="11" t="s">
        <v>231</v>
      </c>
      <c r="C9" s="13" t="n">
        <f aca="false">Inputs!$E$46*(1+Inputs!$E$48)^(C$5-1)*MAX(0,MIN(1,C$4*1-Inputs!$E$49+1))/1</f>
        <v>2</v>
      </c>
      <c r="D9" s="13" t="n">
        <f aca="false">Inputs!$E$46*(1+Inputs!$E$48)^(D$5-1)*MAX(0,MIN(1,D$4*1-Inputs!$E$49+1))/1</f>
        <v>2</v>
      </c>
      <c r="E9" s="13" t="n">
        <f aca="false">Inputs!$E$46*(1+Inputs!$E$48)^(E$5-1)*MAX(0,MIN(1,E$4*1-Inputs!$E$49+1))/1</f>
        <v>2</v>
      </c>
      <c r="F9" s="13" t="n">
        <f aca="false">Inputs!$E$46*(1+Inputs!$E$48)^(F$5-1)*MAX(0,MIN(1,F$4*1-Inputs!$E$49+1))/1</f>
        <v>2</v>
      </c>
      <c r="G9" s="13" t="n">
        <f aca="false">Inputs!$E$46*(1+Inputs!$E$48)^(G$5-1)*MAX(0,MIN(1,G$4*1-Inputs!$E$49+1))/1</f>
        <v>2</v>
      </c>
      <c r="H9" s="13" t="n">
        <f aca="false">Inputs!$E$46*(1+Inputs!$E$48)^(H$5-1)*MAX(0,MIN(1,H$4*1-Inputs!$E$49+1))/1</f>
        <v>2</v>
      </c>
      <c r="I9" s="13" t="n">
        <f aca="false">Inputs!$E$46*(1+Inputs!$E$48)^(I$5-1)*MAX(0,MIN(1,I$4*1-Inputs!$E$49+1))/1</f>
        <v>2</v>
      </c>
      <c r="J9" s="13" t="n">
        <f aca="false">Inputs!$E$46*(1+Inputs!$E$48)^(J$5-1)*MAX(0,MIN(1,J$4*1-Inputs!$E$49+1))/1</f>
        <v>2</v>
      </c>
      <c r="K9" s="13" t="n">
        <f aca="false">Inputs!$E$46*(1+Inputs!$E$48)^(K$5-1)*MAX(0,MIN(1,K$4*1-Inputs!$E$49+1))/1</f>
        <v>2</v>
      </c>
      <c r="L9" s="13" t="n">
        <f aca="false">Inputs!$E$46*(1+Inputs!$E$48)^(L$5-1)*MAX(0,MIN(1,L$4*1-Inputs!$E$49+1))/1</f>
        <v>2</v>
      </c>
      <c r="M9" s="13" t="n">
        <f aca="false">Inputs!$E$46*(1+Inputs!$E$48)^(M$5-1)*MAX(0,MIN(1,M$4*1-Inputs!$E$49+1))/1</f>
        <v>2</v>
      </c>
      <c r="N9" s="13" t="n">
        <f aca="false">Inputs!$E$46*(1+Inputs!$E$48)^(N$5-1)*MAX(0,MIN(1,N$4*1-Inputs!$E$49+1))/1</f>
        <v>2</v>
      </c>
      <c r="O9" s="13" t="n">
        <f aca="false">Inputs!$E$46*(1+Inputs!$E$48)^(O$5-1)*MAX(0,MIN(1,O$4*1-Inputs!$E$49+1))/1</f>
        <v>2.2</v>
      </c>
      <c r="P9" s="13" t="n">
        <f aca="false">Inputs!$E$46*(1+Inputs!$E$48)^(P$5-1)*MAX(0,MIN(1,P$4*1-Inputs!$E$49+1))/1</f>
        <v>2.2</v>
      </c>
      <c r="Q9" s="13" t="n">
        <f aca="false">Inputs!$E$46*(1+Inputs!$E$48)^(Q$5-1)*MAX(0,MIN(1,Q$4*1-Inputs!$E$49+1))/1</f>
        <v>2.2</v>
      </c>
      <c r="R9" s="13" t="n">
        <f aca="false">Inputs!$E$46*(1+Inputs!$E$48)^(R$5-1)*MAX(0,MIN(1,R$4*1-Inputs!$E$49+1))/1</f>
        <v>2.2</v>
      </c>
      <c r="S9" s="13" t="n">
        <f aca="false">Inputs!$E$46*(1+Inputs!$E$48)^(S$5-1)*MAX(0,MIN(1,S$4*1-Inputs!$E$49+1))/1</f>
        <v>2.2</v>
      </c>
      <c r="T9" s="13" t="n">
        <f aca="false">Inputs!$E$46*(1+Inputs!$E$48)^(T$5-1)*MAX(0,MIN(1,T$4*1-Inputs!$E$49+1))/1</f>
        <v>2.2</v>
      </c>
      <c r="U9" s="13" t="n">
        <f aca="false">Inputs!$E$46*(1+Inputs!$E$48)^(U$5-1)*MAX(0,MIN(1,U$4*1-Inputs!$E$49+1))/1</f>
        <v>2.2</v>
      </c>
      <c r="V9" s="13" t="n">
        <f aca="false">Inputs!$E$46*(1+Inputs!$E$48)^(V$5-1)*MAX(0,MIN(1,V$4*1-Inputs!$E$49+1))/1</f>
        <v>2.2</v>
      </c>
      <c r="W9" s="13" t="n">
        <f aca="false">Inputs!$E$46*(1+Inputs!$E$48)^(W$5-1)*MAX(0,MIN(1,W$4*1-Inputs!$E$49+1))/1</f>
        <v>2.2</v>
      </c>
      <c r="X9" s="13" t="n">
        <f aca="false">Inputs!$E$46*(1+Inputs!$E$48)^(X$5-1)*MAX(0,MIN(1,X$4*1-Inputs!$E$49+1))/1</f>
        <v>2.2</v>
      </c>
      <c r="Y9" s="13" t="n">
        <f aca="false">Inputs!$E$46*(1+Inputs!$E$48)^(Y$5-1)*MAX(0,MIN(1,Y$4*1-Inputs!$E$49+1))/1</f>
        <v>2.2</v>
      </c>
      <c r="Z9" s="13" t="n">
        <f aca="false">Inputs!$E$46*(1+Inputs!$E$48)^(Z$5-1)*MAX(0,MIN(1,Z$4*1-Inputs!$E$49+1))/1</f>
        <v>2.2</v>
      </c>
      <c r="AA9" s="13" t="n">
        <f aca="false">Inputs!$E$46*(1+Inputs!$E$48)^(AA$5-1)*MAX(0,MIN(1,AA$4*1-Inputs!$E$49+1))/1</f>
        <v>2.42</v>
      </c>
      <c r="AB9" s="13" t="n">
        <f aca="false">Inputs!$E$46*(1+Inputs!$E$48)^(AB$5-1)*MAX(0,MIN(1,AB$4*1-Inputs!$E$49+1))/1</f>
        <v>2.42</v>
      </c>
      <c r="AC9" s="13" t="n">
        <f aca="false">Inputs!$E$46*(1+Inputs!$E$48)^(AC$5-1)*MAX(0,MIN(1,AC$4*1-Inputs!$E$49+1))/1</f>
        <v>2.42</v>
      </c>
      <c r="AD9" s="13" t="n">
        <f aca="false">Inputs!$E$46*(1+Inputs!$E$48)^(AD$5-1)*MAX(0,MIN(1,AD$4*1-Inputs!$E$49+1))/1</f>
        <v>2.42</v>
      </c>
      <c r="AE9" s="13" t="n">
        <f aca="false">Inputs!$E$46*(1+Inputs!$E$48)^(AE$5-1)*MAX(0,MIN(1,AE$4*1-Inputs!$E$49+1))/1</f>
        <v>2.42</v>
      </c>
      <c r="AF9" s="13" t="n">
        <f aca="false">Inputs!$E$46*(1+Inputs!$E$48)^(AF$5-1)*MAX(0,MIN(1,AF$4*1-Inputs!$E$49+1))/1</f>
        <v>2.42</v>
      </c>
      <c r="AG9" s="13" t="n">
        <f aca="false">Inputs!$E$46*(1+Inputs!$E$48)^(AG$5-1)*MAX(0,MIN(1,AG$4*1-Inputs!$E$49+1))/1</f>
        <v>2.42</v>
      </c>
      <c r="AH9" s="13" t="n">
        <f aca="false">Inputs!$E$46*(1+Inputs!$E$48)^(AH$5-1)*MAX(0,MIN(1,AH$4*1-Inputs!$E$49+1))/1</f>
        <v>2.42</v>
      </c>
      <c r="AI9" s="13" t="n">
        <f aca="false">Inputs!$E$46*(1+Inputs!$E$48)^(AI$5-1)*MAX(0,MIN(1,AI$4*1-Inputs!$E$49+1))/1</f>
        <v>2.42</v>
      </c>
      <c r="AJ9" s="13" t="n">
        <f aca="false">Inputs!$E$46*(1+Inputs!$E$48)^(AJ$5-1)*MAX(0,MIN(1,AJ$4*1-Inputs!$E$49+1))/1</f>
        <v>2.42</v>
      </c>
      <c r="AK9" s="13" t="n">
        <f aca="false">Inputs!$E$46*(1+Inputs!$E$48)^(AK$5-1)*MAX(0,MIN(1,AK$4*1-Inputs!$E$49+1))/1</f>
        <v>2.42</v>
      </c>
      <c r="AL9" s="13" t="n">
        <f aca="false">Inputs!$E$46*(1+Inputs!$E$48)^(AL$5-1)*MAX(0,MIN(1,AL$4*1-Inputs!$E$49+1))/1</f>
        <v>2.42</v>
      </c>
    </row>
    <row r="10" customFormat="false" ht="15" hidden="false" customHeight="false" outlineLevel="0" collapsed="false">
      <c r="A10" s="4" t="s">
        <v>232</v>
      </c>
      <c r="C10" s="37" t="n">
        <f aca="false">C8+C9</f>
        <v>9</v>
      </c>
      <c r="D10" s="37" t="n">
        <f aca="false">D8+D9</f>
        <v>9</v>
      </c>
      <c r="E10" s="37" t="n">
        <f aca="false">E8+E9</f>
        <v>9</v>
      </c>
      <c r="F10" s="37" t="n">
        <f aca="false">F8+F9</f>
        <v>9</v>
      </c>
      <c r="G10" s="37" t="n">
        <f aca="false">G8+G9</f>
        <v>9</v>
      </c>
      <c r="H10" s="37" t="n">
        <f aca="false">H8+H9</f>
        <v>9</v>
      </c>
      <c r="I10" s="37" t="n">
        <f aca="false">I8+I9</f>
        <v>9</v>
      </c>
      <c r="J10" s="37" t="n">
        <f aca="false">J8+J9</f>
        <v>9</v>
      </c>
      <c r="K10" s="37" t="n">
        <f aca="false">K8+K9</f>
        <v>9</v>
      </c>
      <c r="L10" s="37" t="n">
        <f aca="false">L8+L9</f>
        <v>9</v>
      </c>
      <c r="M10" s="37" t="n">
        <f aca="false">M8+M9</f>
        <v>9</v>
      </c>
      <c r="N10" s="37" t="n">
        <f aca="false">N8+N9</f>
        <v>9</v>
      </c>
      <c r="O10" s="37" t="n">
        <f aca="false">O8+O9</f>
        <v>10.04</v>
      </c>
      <c r="P10" s="37" t="n">
        <f aca="false">P8+P9</f>
        <v>10.04</v>
      </c>
      <c r="Q10" s="37" t="n">
        <f aca="false">Q8+Q9</f>
        <v>10.04</v>
      </c>
      <c r="R10" s="37" t="n">
        <f aca="false">R8+R9</f>
        <v>10.04</v>
      </c>
      <c r="S10" s="37" t="n">
        <f aca="false">S8+S9</f>
        <v>10.04</v>
      </c>
      <c r="T10" s="37" t="n">
        <f aca="false">T8+T9</f>
        <v>10.04</v>
      </c>
      <c r="U10" s="37" t="n">
        <f aca="false">U8+U9</f>
        <v>10.04</v>
      </c>
      <c r="V10" s="37" t="n">
        <f aca="false">V8+V9</f>
        <v>10.04</v>
      </c>
      <c r="W10" s="37" t="n">
        <f aca="false">W8+W9</f>
        <v>10.04</v>
      </c>
      <c r="X10" s="37" t="n">
        <f aca="false">X8+X9</f>
        <v>10.04</v>
      </c>
      <c r="Y10" s="37" t="n">
        <f aca="false">Y8+Y9</f>
        <v>10.04</v>
      </c>
      <c r="Z10" s="37" t="n">
        <f aca="false">Z8+Z9</f>
        <v>10.04</v>
      </c>
      <c r="AA10" s="37" t="n">
        <f aca="false">AA8+AA9</f>
        <v>11.2008</v>
      </c>
      <c r="AB10" s="37" t="n">
        <f aca="false">AB8+AB9</f>
        <v>11.2008</v>
      </c>
      <c r="AC10" s="37" t="n">
        <f aca="false">AC8+AC9</f>
        <v>11.2008</v>
      </c>
      <c r="AD10" s="37" t="n">
        <f aca="false">AD8+AD9</f>
        <v>11.2008</v>
      </c>
      <c r="AE10" s="37" t="n">
        <f aca="false">AE8+AE9</f>
        <v>11.2008</v>
      </c>
      <c r="AF10" s="37" t="n">
        <f aca="false">AF8+AF9</f>
        <v>11.2008</v>
      </c>
      <c r="AG10" s="37" t="n">
        <f aca="false">AG8+AG9</f>
        <v>11.2008</v>
      </c>
      <c r="AH10" s="37" t="n">
        <f aca="false">AH8+AH9</f>
        <v>11.2008</v>
      </c>
      <c r="AI10" s="37" t="n">
        <f aca="false">AI8+AI9</f>
        <v>11.2008</v>
      </c>
      <c r="AJ10" s="37" t="n">
        <f aca="false">AJ8+AJ9</f>
        <v>11.2008</v>
      </c>
      <c r="AK10" s="37" t="n">
        <f aca="false">AK8+AK9</f>
        <v>11.2008</v>
      </c>
      <c r="AL10" s="37" t="n">
        <f aca="false">AL8+AL9</f>
        <v>11.2008</v>
      </c>
    </row>
    <row r="12" customFormat="false" ht="15" hidden="false" customHeight="false" outlineLevel="0" collapsed="false">
      <c r="A12" s="7" t="s">
        <v>233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customFormat="false" ht="15" hidden="false" customHeight="false" outlineLevel="0" collapsed="false">
      <c r="A13" s="11" t="s">
        <v>234</v>
      </c>
      <c r="C13" s="22" t="n">
        <f aca="false">-C8*Inputs!$E$43/12*1*(1+Inputs!$E$50)*(1+Inputs!$E$51)^(C$5-1)</f>
        <v>-41591.6666666667</v>
      </c>
      <c r="D13" s="22" t="n">
        <f aca="false">-D8*Inputs!$E$43/12*1*(1+Inputs!$E$50)*(1+Inputs!$E$51)^(D$5-1)</f>
        <v>-41591.6666666667</v>
      </c>
      <c r="E13" s="22" t="n">
        <f aca="false">-E8*Inputs!$E$43/12*1*(1+Inputs!$E$50)*(1+Inputs!$E$51)^(E$5-1)</f>
        <v>-41591.6666666667</v>
      </c>
      <c r="F13" s="22" t="n">
        <f aca="false">-F8*Inputs!$E$43/12*1*(1+Inputs!$E$50)*(1+Inputs!$E$51)^(F$5-1)</f>
        <v>-41591.6666666667</v>
      </c>
      <c r="G13" s="22" t="n">
        <f aca="false">-G8*Inputs!$E$43/12*1*(1+Inputs!$E$50)*(1+Inputs!$E$51)^(G$5-1)</f>
        <v>-41591.6666666667</v>
      </c>
      <c r="H13" s="22" t="n">
        <f aca="false">-H8*Inputs!$E$43/12*1*(1+Inputs!$E$50)*(1+Inputs!$E$51)^(H$5-1)</f>
        <v>-41591.6666666667</v>
      </c>
      <c r="I13" s="22" t="n">
        <f aca="false">-I8*Inputs!$E$43/12*1*(1+Inputs!$E$50)*(1+Inputs!$E$51)^(I$5-1)</f>
        <v>-41591.6666666667</v>
      </c>
      <c r="J13" s="22" t="n">
        <f aca="false">-J8*Inputs!$E$43/12*1*(1+Inputs!$E$50)*(1+Inputs!$E$51)^(J$5-1)</f>
        <v>-41591.6666666667</v>
      </c>
      <c r="K13" s="22" t="n">
        <f aca="false">-K8*Inputs!$E$43/12*1*(1+Inputs!$E$50)*(1+Inputs!$E$51)^(K$5-1)</f>
        <v>-41591.6666666667</v>
      </c>
      <c r="L13" s="22" t="n">
        <f aca="false">-L8*Inputs!$E$43/12*1*(1+Inputs!$E$50)*(1+Inputs!$E$51)^(L$5-1)</f>
        <v>-41591.6666666667</v>
      </c>
      <c r="M13" s="22" t="n">
        <f aca="false">-M8*Inputs!$E$43/12*1*(1+Inputs!$E$50)*(1+Inputs!$E$51)^(M$5-1)</f>
        <v>-41591.6666666667</v>
      </c>
      <c r="N13" s="22" t="n">
        <f aca="false">-N8*Inputs!$E$43/12*1*(1+Inputs!$E$50)*(1+Inputs!$E$51)^(N$5-1)</f>
        <v>-41591.6666666667</v>
      </c>
      <c r="O13" s="22" t="n">
        <f aca="false">-O8*Inputs!$E$43/12*1*(1+Inputs!$E$50)*(1+Inputs!$E$51)^(O$5-1)</f>
        <v>-47980.1466666667</v>
      </c>
      <c r="P13" s="22" t="n">
        <f aca="false">-P8*Inputs!$E$43/12*1*(1+Inputs!$E$50)*(1+Inputs!$E$51)^(P$5-1)</f>
        <v>-47980.1466666667</v>
      </c>
      <c r="Q13" s="22" t="n">
        <f aca="false">-Q8*Inputs!$E$43/12*1*(1+Inputs!$E$50)*(1+Inputs!$E$51)^(Q$5-1)</f>
        <v>-47980.1466666667</v>
      </c>
      <c r="R13" s="22" t="n">
        <f aca="false">-R8*Inputs!$E$43/12*1*(1+Inputs!$E$50)*(1+Inputs!$E$51)^(R$5-1)</f>
        <v>-47980.1466666667</v>
      </c>
      <c r="S13" s="22" t="n">
        <f aca="false">-S8*Inputs!$E$43/12*1*(1+Inputs!$E$50)*(1+Inputs!$E$51)^(S$5-1)</f>
        <v>-47980.1466666667</v>
      </c>
      <c r="T13" s="22" t="n">
        <f aca="false">-T8*Inputs!$E$43/12*1*(1+Inputs!$E$50)*(1+Inputs!$E$51)^(T$5-1)</f>
        <v>-47980.1466666667</v>
      </c>
      <c r="U13" s="22" t="n">
        <f aca="false">-U8*Inputs!$E$43/12*1*(1+Inputs!$E$50)*(1+Inputs!$E$51)^(U$5-1)</f>
        <v>-47980.1466666667</v>
      </c>
      <c r="V13" s="22" t="n">
        <f aca="false">-V8*Inputs!$E$43/12*1*(1+Inputs!$E$50)*(1+Inputs!$E$51)^(V$5-1)</f>
        <v>-47980.1466666667</v>
      </c>
      <c r="W13" s="22" t="n">
        <f aca="false">-W8*Inputs!$E$43/12*1*(1+Inputs!$E$50)*(1+Inputs!$E$51)^(W$5-1)</f>
        <v>-47980.1466666667</v>
      </c>
      <c r="X13" s="22" t="n">
        <f aca="false">-X8*Inputs!$E$43/12*1*(1+Inputs!$E$50)*(1+Inputs!$E$51)^(X$5-1)</f>
        <v>-47980.1466666667</v>
      </c>
      <c r="Y13" s="22" t="n">
        <f aca="false">-Y8*Inputs!$E$43/12*1*(1+Inputs!$E$50)*(1+Inputs!$E$51)^(Y$5-1)</f>
        <v>-47980.1466666667</v>
      </c>
      <c r="Z13" s="22" t="n">
        <f aca="false">-Z8*Inputs!$E$43/12*1*(1+Inputs!$E$50)*(1+Inputs!$E$51)^(Z$5-1)</f>
        <v>-47980.1466666667</v>
      </c>
      <c r="AA13" s="22" t="n">
        <f aca="false">-AA8*Inputs!$E$43/12*1*(1+Inputs!$E$50)*(1+Inputs!$E$51)^(AA$5-1)</f>
        <v>-55349.8971946667</v>
      </c>
      <c r="AB13" s="22" t="n">
        <f aca="false">-AB8*Inputs!$E$43/12*1*(1+Inputs!$E$50)*(1+Inputs!$E$51)^(AB$5-1)</f>
        <v>-55349.8971946667</v>
      </c>
      <c r="AC13" s="22" t="n">
        <f aca="false">-AC8*Inputs!$E$43/12*1*(1+Inputs!$E$50)*(1+Inputs!$E$51)^(AC$5-1)</f>
        <v>-55349.8971946667</v>
      </c>
      <c r="AD13" s="22" t="n">
        <f aca="false">-AD8*Inputs!$E$43/12*1*(1+Inputs!$E$50)*(1+Inputs!$E$51)^(AD$5-1)</f>
        <v>-55349.8971946667</v>
      </c>
      <c r="AE13" s="22" t="n">
        <f aca="false">-AE8*Inputs!$E$43/12*1*(1+Inputs!$E$50)*(1+Inputs!$E$51)^(AE$5-1)</f>
        <v>-55349.8971946667</v>
      </c>
      <c r="AF13" s="22" t="n">
        <f aca="false">-AF8*Inputs!$E$43/12*1*(1+Inputs!$E$50)*(1+Inputs!$E$51)^(AF$5-1)</f>
        <v>-55349.8971946667</v>
      </c>
      <c r="AG13" s="22" t="n">
        <f aca="false">-AG8*Inputs!$E$43/12*1*(1+Inputs!$E$50)*(1+Inputs!$E$51)^(AG$5-1)</f>
        <v>-55349.8971946667</v>
      </c>
      <c r="AH13" s="22" t="n">
        <f aca="false">-AH8*Inputs!$E$43/12*1*(1+Inputs!$E$50)*(1+Inputs!$E$51)^(AH$5-1)</f>
        <v>-55349.8971946667</v>
      </c>
      <c r="AI13" s="22" t="n">
        <f aca="false">-AI8*Inputs!$E$43/12*1*(1+Inputs!$E$50)*(1+Inputs!$E$51)^(AI$5-1)</f>
        <v>-55349.8971946667</v>
      </c>
      <c r="AJ13" s="22" t="n">
        <f aca="false">-AJ8*Inputs!$E$43/12*1*(1+Inputs!$E$50)*(1+Inputs!$E$51)^(AJ$5-1)</f>
        <v>-55349.8971946667</v>
      </c>
      <c r="AK13" s="22" t="n">
        <f aca="false">-AK8*Inputs!$E$43/12*1*(1+Inputs!$E$50)*(1+Inputs!$E$51)^(AK$5-1)</f>
        <v>-55349.8971946667</v>
      </c>
      <c r="AL13" s="22" t="n">
        <f aca="false">-AL8*Inputs!$E$43/12*1*(1+Inputs!$E$50)*(1+Inputs!$E$51)^(AL$5-1)</f>
        <v>-55349.8971946667</v>
      </c>
    </row>
    <row r="14" customFormat="false" ht="15" hidden="false" customHeight="false" outlineLevel="0" collapsed="false">
      <c r="A14" s="11" t="s">
        <v>235</v>
      </c>
      <c r="C14" s="22" t="n">
        <f aca="false">-C9*Inputs!$E$47/12*1*(1+Inputs!$E$50)*(1+Inputs!$E$51)^(C$5-1)</f>
        <v>-8625</v>
      </c>
      <c r="D14" s="22" t="n">
        <f aca="false">-D9*Inputs!$E$47/12*1*(1+Inputs!$E$50)*(1+Inputs!$E$51)^(D$5-1)</f>
        <v>-8625</v>
      </c>
      <c r="E14" s="22" t="n">
        <f aca="false">-E9*Inputs!$E$47/12*1*(1+Inputs!$E$50)*(1+Inputs!$E$51)^(E$5-1)</f>
        <v>-8625</v>
      </c>
      <c r="F14" s="22" t="n">
        <f aca="false">-F9*Inputs!$E$47/12*1*(1+Inputs!$E$50)*(1+Inputs!$E$51)^(F$5-1)</f>
        <v>-8625</v>
      </c>
      <c r="G14" s="22" t="n">
        <f aca="false">-G9*Inputs!$E$47/12*1*(1+Inputs!$E$50)*(1+Inputs!$E$51)^(G$5-1)</f>
        <v>-8625</v>
      </c>
      <c r="H14" s="22" t="n">
        <f aca="false">-H9*Inputs!$E$47/12*1*(1+Inputs!$E$50)*(1+Inputs!$E$51)^(H$5-1)</f>
        <v>-8625</v>
      </c>
      <c r="I14" s="22" t="n">
        <f aca="false">-I9*Inputs!$E$47/12*1*(1+Inputs!$E$50)*(1+Inputs!$E$51)^(I$5-1)</f>
        <v>-8625</v>
      </c>
      <c r="J14" s="22" t="n">
        <f aca="false">-J9*Inputs!$E$47/12*1*(1+Inputs!$E$50)*(1+Inputs!$E$51)^(J$5-1)</f>
        <v>-8625</v>
      </c>
      <c r="K14" s="22" t="n">
        <f aca="false">-K9*Inputs!$E$47/12*1*(1+Inputs!$E$50)*(1+Inputs!$E$51)^(K$5-1)</f>
        <v>-8625</v>
      </c>
      <c r="L14" s="22" t="n">
        <f aca="false">-L9*Inputs!$E$47/12*1*(1+Inputs!$E$50)*(1+Inputs!$E$51)^(L$5-1)</f>
        <v>-8625</v>
      </c>
      <c r="M14" s="22" t="n">
        <f aca="false">-M9*Inputs!$E$47/12*1*(1+Inputs!$E$50)*(1+Inputs!$E$51)^(M$5-1)</f>
        <v>-8625</v>
      </c>
      <c r="N14" s="22" t="n">
        <f aca="false">-N9*Inputs!$E$47/12*1*(1+Inputs!$E$50)*(1+Inputs!$E$51)^(N$5-1)</f>
        <v>-8625</v>
      </c>
      <c r="O14" s="22" t="n">
        <f aca="false">-O9*Inputs!$E$47/12*1*(1+Inputs!$E$50)*(1+Inputs!$E$51)^(O$5-1)</f>
        <v>-9772.125</v>
      </c>
      <c r="P14" s="22" t="n">
        <f aca="false">-P9*Inputs!$E$47/12*1*(1+Inputs!$E$50)*(1+Inputs!$E$51)^(P$5-1)</f>
        <v>-9772.125</v>
      </c>
      <c r="Q14" s="22" t="n">
        <f aca="false">-Q9*Inputs!$E$47/12*1*(1+Inputs!$E$50)*(1+Inputs!$E$51)^(Q$5-1)</f>
        <v>-9772.125</v>
      </c>
      <c r="R14" s="22" t="n">
        <f aca="false">-R9*Inputs!$E$47/12*1*(1+Inputs!$E$50)*(1+Inputs!$E$51)^(R$5-1)</f>
        <v>-9772.125</v>
      </c>
      <c r="S14" s="22" t="n">
        <f aca="false">-S9*Inputs!$E$47/12*1*(1+Inputs!$E$50)*(1+Inputs!$E$51)^(S$5-1)</f>
        <v>-9772.125</v>
      </c>
      <c r="T14" s="22" t="n">
        <f aca="false">-T9*Inputs!$E$47/12*1*(1+Inputs!$E$50)*(1+Inputs!$E$51)^(T$5-1)</f>
        <v>-9772.125</v>
      </c>
      <c r="U14" s="22" t="n">
        <f aca="false">-U9*Inputs!$E$47/12*1*(1+Inputs!$E$50)*(1+Inputs!$E$51)^(U$5-1)</f>
        <v>-9772.125</v>
      </c>
      <c r="V14" s="22" t="n">
        <f aca="false">-V9*Inputs!$E$47/12*1*(1+Inputs!$E$50)*(1+Inputs!$E$51)^(V$5-1)</f>
        <v>-9772.125</v>
      </c>
      <c r="W14" s="22" t="n">
        <f aca="false">-W9*Inputs!$E$47/12*1*(1+Inputs!$E$50)*(1+Inputs!$E$51)^(W$5-1)</f>
        <v>-9772.125</v>
      </c>
      <c r="X14" s="22" t="n">
        <f aca="false">-X9*Inputs!$E$47/12*1*(1+Inputs!$E$50)*(1+Inputs!$E$51)^(X$5-1)</f>
        <v>-9772.125</v>
      </c>
      <c r="Y14" s="22" t="n">
        <f aca="false">-Y9*Inputs!$E$47/12*1*(1+Inputs!$E$50)*(1+Inputs!$E$51)^(Y$5-1)</f>
        <v>-9772.125</v>
      </c>
      <c r="Z14" s="22" t="n">
        <f aca="false">-Z9*Inputs!$E$47/12*1*(1+Inputs!$E$50)*(1+Inputs!$E$51)^(Z$5-1)</f>
        <v>-9772.125</v>
      </c>
      <c r="AA14" s="22" t="n">
        <f aca="false">-AA9*Inputs!$E$47/12*1*(1+Inputs!$E$50)*(1+Inputs!$E$51)^(AA$5-1)</f>
        <v>-11071.817625</v>
      </c>
      <c r="AB14" s="22" t="n">
        <f aca="false">-AB9*Inputs!$E$47/12*1*(1+Inputs!$E$50)*(1+Inputs!$E$51)^(AB$5-1)</f>
        <v>-11071.817625</v>
      </c>
      <c r="AC14" s="22" t="n">
        <f aca="false">-AC9*Inputs!$E$47/12*1*(1+Inputs!$E$50)*(1+Inputs!$E$51)^(AC$5-1)</f>
        <v>-11071.817625</v>
      </c>
      <c r="AD14" s="22" t="n">
        <f aca="false">-AD9*Inputs!$E$47/12*1*(1+Inputs!$E$50)*(1+Inputs!$E$51)^(AD$5-1)</f>
        <v>-11071.817625</v>
      </c>
      <c r="AE14" s="22" t="n">
        <f aca="false">-AE9*Inputs!$E$47/12*1*(1+Inputs!$E$50)*(1+Inputs!$E$51)^(AE$5-1)</f>
        <v>-11071.817625</v>
      </c>
      <c r="AF14" s="22" t="n">
        <f aca="false">-AF9*Inputs!$E$47/12*1*(1+Inputs!$E$50)*(1+Inputs!$E$51)^(AF$5-1)</f>
        <v>-11071.817625</v>
      </c>
      <c r="AG14" s="22" t="n">
        <f aca="false">-AG9*Inputs!$E$47/12*1*(1+Inputs!$E$50)*(1+Inputs!$E$51)^(AG$5-1)</f>
        <v>-11071.817625</v>
      </c>
      <c r="AH14" s="22" t="n">
        <f aca="false">-AH9*Inputs!$E$47/12*1*(1+Inputs!$E$50)*(1+Inputs!$E$51)^(AH$5-1)</f>
        <v>-11071.817625</v>
      </c>
      <c r="AI14" s="22" t="n">
        <f aca="false">-AI9*Inputs!$E$47/12*1*(1+Inputs!$E$50)*(1+Inputs!$E$51)^(AI$5-1)</f>
        <v>-11071.817625</v>
      </c>
      <c r="AJ14" s="22" t="n">
        <f aca="false">-AJ9*Inputs!$E$47/12*1*(1+Inputs!$E$50)*(1+Inputs!$E$51)^(AJ$5-1)</f>
        <v>-11071.817625</v>
      </c>
      <c r="AK14" s="22" t="n">
        <f aca="false">-AK9*Inputs!$E$47/12*1*(1+Inputs!$E$50)*(1+Inputs!$E$51)^(AK$5-1)</f>
        <v>-11071.817625</v>
      </c>
      <c r="AL14" s="22" t="n">
        <f aca="false">-AL9*Inputs!$E$47/12*1*(1+Inputs!$E$50)*(1+Inputs!$E$51)^(AL$5-1)</f>
        <v>-11071.817625</v>
      </c>
    </row>
    <row r="15" customFormat="false" ht="15" hidden="false" customHeight="false" outlineLevel="0" collapsed="false">
      <c r="A15" s="4" t="s">
        <v>236</v>
      </c>
      <c r="C15" s="35" t="n">
        <f aca="false">C13+C14</f>
        <v>-50216.6666666667</v>
      </c>
      <c r="D15" s="35" t="n">
        <f aca="false">D13+D14</f>
        <v>-50216.6666666667</v>
      </c>
      <c r="E15" s="35" t="n">
        <f aca="false">E13+E14</f>
        <v>-50216.6666666667</v>
      </c>
      <c r="F15" s="35" t="n">
        <f aca="false">F13+F14</f>
        <v>-50216.6666666667</v>
      </c>
      <c r="G15" s="35" t="n">
        <f aca="false">G13+G14</f>
        <v>-50216.6666666667</v>
      </c>
      <c r="H15" s="35" t="n">
        <f aca="false">H13+H14</f>
        <v>-50216.6666666667</v>
      </c>
      <c r="I15" s="35" t="n">
        <f aca="false">I13+I14</f>
        <v>-50216.6666666667</v>
      </c>
      <c r="J15" s="35" t="n">
        <f aca="false">J13+J14</f>
        <v>-50216.6666666667</v>
      </c>
      <c r="K15" s="35" t="n">
        <f aca="false">K13+K14</f>
        <v>-50216.6666666667</v>
      </c>
      <c r="L15" s="35" t="n">
        <f aca="false">L13+L14</f>
        <v>-50216.6666666667</v>
      </c>
      <c r="M15" s="35" t="n">
        <f aca="false">M13+M14</f>
        <v>-50216.6666666667</v>
      </c>
      <c r="N15" s="35" t="n">
        <f aca="false">N13+N14</f>
        <v>-50216.6666666667</v>
      </c>
      <c r="O15" s="35" t="n">
        <f aca="false">O13+O14</f>
        <v>-57752.2716666667</v>
      </c>
      <c r="P15" s="35" t="n">
        <f aca="false">P13+P14</f>
        <v>-57752.2716666667</v>
      </c>
      <c r="Q15" s="35" t="n">
        <f aca="false">Q13+Q14</f>
        <v>-57752.2716666667</v>
      </c>
      <c r="R15" s="35" t="n">
        <f aca="false">R13+R14</f>
        <v>-57752.2716666667</v>
      </c>
      <c r="S15" s="35" t="n">
        <f aca="false">S13+S14</f>
        <v>-57752.2716666667</v>
      </c>
      <c r="T15" s="35" t="n">
        <f aca="false">T13+T14</f>
        <v>-57752.2716666667</v>
      </c>
      <c r="U15" s="35" t="n">
        <f aca="false">U13+U14</f>
        <v>-57752.2716666667</v>
      </c>
      <c r="V15" s="35" t="n">
        <f aca="false">V13+V14</f>
        <v>-57752.2716666667</v>
      </c>
      <c r="W15" s="35" t="n">
        <f aca="false">W13+W14</f>
        <v>-57752.2716666667</v>
      </c>
      <c r="X15" s="35" t="n">
        <f aca="false">X13+X14</f>
        <v>-57752.2716666667</v>
      </c>
      <c r="Y15" s="35" t="n">
        <f aca="false">Y13+Y14</f>
        <v>-57752.2716666667</v>
      </c>
      <c r="Z15" s="35" t="n">
        <f aca="false">Z13+Z14</f>
        <v>-57752.2716666667</v>
      </c>
      <c r="AA15" s="35" t="n">
        <f aca="false">AA13+AA14</f>
        <v>-66421.7148196667</v>
      </c>
      <c r="AB15" s="35" t="n">
        <f aca="false">AB13+AB14</f>
        <v>-66421.7148196667</v>
      </c>
      <c r="AC15" s="35" t="n">
        <f aca="false">AC13+AC14</f>
        <v>-66421.7148196667</v>
      </c>
      <c r="AD15" s="35" t="n">
        <f aca="false">AD13+AD14</f>
        <v>-66421.7148196667</v>
      </c>
      <c r="AE15" s="35" t="n">
        <f aca="false">AE13+AE14</f>
        <v>-66421.7148196667</v>
      </c>
      <c r="AF15" s="35" t="n">
        <f aca="false">AF13+AF14</f>
        <v>-66421.7148196667</v>
      </c>
      <c r="AG15" s="35" t="n">
        <f aca="false">AG13+AG14</f>
        <v>-66421.7148196667</v>
      </c>
      <c r="AH15" s="35" t="n">
        <f aca="false">AH13+AH14</f>
        <v>-66421.7148196667</v>
      </c>
      <c r="AI15" s="35" t="n">
        <f aca="false">AI13+AI14</f>
        <v>-66421.7148196667</v>
      </c>
      <c r="AJ15" s="35" t="n">
        <f aca="false">AJ13+AJ14</f>
        <v>-66421.7148196667</v>
      </c>
      <c r="AK15" s="35" t="n">
        <f aca="false">AK13+AK14</f>
        <v>-66421.7148196667</v>
      </c>
      <c r="AL15" s="35" t="n">
        <f aca="false">AL13+AL14</f>
        <v>-66421.7148196667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64"/>
  </cols>
  <sheetData>
    <row r="1" customFormat="false" ht="24" hidden="false" customHeight="true" outlineLevel="0" collapsed="false">
      <c r="A1" s="1" t="s">
        <v>19</v>
      </c>
      <c r="B1" s="2"/>
      <c r="C1" s="2"/>
    </row>
    <row r="2" customFormat="false" ht="15" hidden="false" customHeight="false" outlineLevel="0" collapsed="false">
      <c r="A2" s="3" t="s">
        <v>237</v>
      </c>
    </row>
    <row r="3" customFormat="false" ht="15" hidden="false" customHeight="false" outlineLevel="0" collapsed="false">
      <c r="A3" s="24" t="s">
        <v>238</v>
      </c>
      <c r="B3" s="24" t="s">
        <v>239</v>
      </c>
      <c r="C3" s="24" t="s">
        <v>240</v>
      </c>
    </row>
    <row r="4" customFormat="false" ht="15" hidden="false" customHeight="false" outlineLevel="0" collapsed="false">
      <c r="A4" s="11" t="s">
        <v>241</v>
      </c>
      <c r="B4" s="4" t="str">
        <f aca="false">IF(ABS(SUM('P&amp;L'!$B$5:$D$5)-SUM(Monthly!$C$22:$AL$22))&lt;0.5,"PASS","FAIL")</f>
        <v>PASS</v>
      </c>
      <c r="C4" s="17" t="s">
        <v>242</v>
      </c>
    </row>
    <row r="5" customFormat="false" ht="15" hidden="false" customHeight="false" outlineLevel="0" collapsed="false">
      <c r="A5" s="11" t="s">
        <v>243</v>
      </c>
      <c r="B5" s="4" t="str">
        <f aca="false">IF(ABS(SUM('P&amp;L'!$B$24:$D$24)-SUM(Monthly!$C$50:$AL$50))&lt;0.5,"PASS","FAIL")</f>
        <v>PASS</v>
      </c>
      <c r="C5" s="17" t="s">
        <v>244</v>
      </c>
    </row>
    <row r="6" customFormat="false" ht="15" hidden="false" customHeight="false" outlineLevel="0" collapsed="false">
      <c r="A6" s="11" t="s">
        <v>245</v>
      </c>
      <c r="B6" s="4" t="str">
        <f aca="false">IF(ABS(SUM(Monthly!$C$41:$AL$41)-SUM(Monthly!$C$30:$AL$30)-SUM(Monthly!$C$40:$AL$40))&lt;0.5,"PASS","FAIL")</f>
        <v>PASS</v>
      </c>
      <c r="C6" s="17" t="s">
        <v>246</v>
      </c>
    </row>
    <row r="7" customFormat="false" ht="15" hidden="false" customHeight="false" outlineLevel="0" collapsed="false">
      <c r="A7" s="11" t="s">
        <v>247</v>
      </c>
      <c r="B7" s="4" t="str">
        <f aca="false">IF(ABS(INDEX(Monthly!$C$80:$AL$80,36)-SUM(Monthly!$C$78:$AL$78))&lt;0.5,"PASS","FAIL")</f>
        <v>PASS</v>
      </c>
      <c r="C7" s="17" t="s">
        <v>248</v>
      </c>
    </row>
    <row r="8" customFormat="false" ht="15" hidden="false" customHeight="false" outlineLevel="0" collapsed="false">
      <c r="A8" s="11" t="s">
        <v>249</v>
      </c>
      <c r="B8" s="4" t="str">
        <f aca="false">IF(AND(ISNUMBER(Dashboard!B4),Dashboard!B4&gt;=1,Dashboard!B4&lt;=3,INT(Dashboard!B4)=Dashboard!B4),"PASS","FAIL")</f>
        <v>PASS</v>
      </c>
      <c r="C8" s="17" t="s">
        <v>250</v>
      </c>
    </row>
    <row r="9" customFormat="false" ht="15" hidden="false" customHeight="false" outlineLevel="0" collapsed="false">
      <c r="A9" s="11" t="s">
        <v>251</v>
      </c>
      <c r="B9" s="4" t="str">
        <f aca="false">IF(AND(Inputs!$B$7&lt;=Inputs!$C$7,Inputs!$C$7&lt;=Inputs!$D$7,Inputs!$B$12&lt;=Inputs!$C$12,Inputs!$C$12&lt;=Inputs!$D$12,Inputs!$B$13&gt;=Inputs!$C$13,Inputs!$C$13&gt;=Inputs!$D$13,Inputs!$B$14&lt;=Inputs!$C$14,Inputs!$C$14&lt;=Inputs!$D$14,Inputs!$B$15&lt;=Inputs!$C$15,Inputs!$C$15&lt;=Inputs!$D$15,Inputs!$B$16&lt;=Inputs!$C$16,Inputs!$C$16&lt;=Inputs!$D$16,Inputs!$B$20&lt;=Inputs!$C$20,Inputs!$C$20&lt;=Inputs!$D$20,Inputs!$B$21&lt;=Inputs!$C$21,Inputs!$C$21&lt;=Inputs!$D$21,Inputs!$B$24&lt;=Inputs!$C$24,Inputs!$C$24&lt;=Inputs!$D$24,Inputs!$B$25&lt;=Inputs!$C$25,Inputs!$C$25&lt;=Inputs!$D$25,Inputs!$B$26&lt;=Inputs!$C$26,Inputs!$C$26&lt;=Inputs!$D$26,Inputs!$B$27&gt;=Inputs!$C$27,Inputs!$C$27&gt;=Inputs!$D$27,Inputs!$B$30&gt;=Inputs!$C$30,Inputs!$C$30&gt;=Inputs!$D$30,Inputs!$B$31&gt;=Inputs!$C$31,Inputs!$C$31&gt;=Inputs!$D$31,Inputs!$B$36&gt;=Inputs!$C$36,Inputs!$C$36&gt;=Inputs!$D$36,Inputs!$B$38&gt;=Inputs!$C$38,Inputs!$C$38&gt;=Inputs!$D$38,Inputs!$B$42&lt;=Inputs!$C$42,Inputs!$C$42&lt;=Inputs!$D$42,Inputs!$B$44&lt;=Inputs!$C$44,Inputs!$C$44&lt;=Inputs!$D$44,Inputs!$B$46&lt;=Inputs!$C$46,Inputs!$C$46&lt;=Inputs!$D$46,Inputs!$B$48&lt;=Inputs!$C$48,Inputs!$C$48&lt;=Inputs!$D$48),"PASS","FAIL")</f>
        <v>PASS</v>
      </c>
      <c r="C9" s="17" t="s">
        <v>252</v>
      </c>
    </row>
    <row r="10" customFormat="false" ht="15" hidden="false" customHeight="false" outlineLevel="0" collapsed="false">
      <c r="A10" s="11" t="s">
        <v>253</v>
      </c>
      <c r="B10" s="4" t="str">
        <f aca="false">IF(AND(MIN('P&amp;L'!$B$8:$D$8)&gt;=0,MAX('P&amp;L'!$B$8:$D$8)&lt;=1),"PASS","FAIL")</f>
        <v>PASS</v>
      </c>
      <c r="C10" s="17" t="s">
        <v>254</v>
      </c>
    </row>
    <row r="11" customFormat="false" ht="15" hidden="false" customHeight="false" outlineLevel="0" collapsed="false">
      <c r="A11" s="11" t="s">
        <v>255</v>
      </c>
      <c r="B11" s="4" t="str">
        <f aca="false">IF(MIN(Monthly!$C$63:$AL$63)&gt;=-0.5,"PASS","FAIL")</f>
        <v>PASS</v>
      </c>
      <c r="C11" s="17" t="s">
        <v>256</v>
      </c>
    </row>
    <row r="12" customFormat="false" ht="15" hidden="false" customHeight="false" outlineLevel="0" collapsed="false">
      <c r="A12" s="11" t="s">
        <v>257</v>
      </c>
      <c r="B12" s="4" t="str">
        <f aca="false">IF(SUMPRODUCT(--ISERROR(Monthly!$C$4:$AL$90))+SUMPRODUCT(--ISERROR(Headcount!$C$4:$AL$15))+SUMPRODUCT(--ISERROR('P&amp;L'!$B$3:$D$25))+SUMPRODUCT(--ISERROR('Cash Flow'!$B$3:$D$18))+SUMPRODUCT(--ISERROR('Balance Sheet'!$B$3:$D$17))+SUMPRODUCT(--ISERROR(Dashboard!$B$25:$D$47))=0,"PASS","FAIL")</f>
        <v>PASS</v>
      </c>
      <c r="C12" s="17" t="s">
        <v>258</v>
      </c>
    </row>
    <row r="13" customFormat="false" ht="15" hidden="false" customHeight="false" outlineLevel="0" collapsed="false">
      <c r="A13" s="11" t="s">
        <v>259</v>
      </c>
      <c r="B13" s="4" t="str">
        <f aca="false">IF(SUMPRODUCT(--(ABS(Monthly!$C$90:$AL$90)&gt;0.5))=0,"PASS","FAIL")</f>
        <v>PASS</v>
      </c>
      <c r="C13" s="17" t="s">
        <v>260</v>
      </c>
    </row>
    <row r="14" customFormat="false" ht="15" hidden="false" customHeight="false" outlineLevel="0" collapsed="false">
      <c r="A14" s="11" t="s">
        <v>261</v>
      </c>
      <c r="B14" s="4" t="str">
        <f aca="false">IF(MIN(Monthly!$C$80:$AL$80)&gt;=0,"PASS","WARN")</f>
        <v>PASS</v>
      </c>
      <c r="C14" s="17" t="s">
        <v>262</v>
      </c>
    </row>
    <row r="16" customFormat="false" ht="15" hidden="false" customHeight="false" outlineLevel="0" collapsed="false">
      <c r="A16" s="4" t="s">
        <v>263</v>
      </c>
      <c r="B16" s="38" t="str">
        <f aca="false">IF(COUNTIF(B4:B14,"FAIL")&gt;0,"FAIL",IF(COUNTIF(B4:B14,"WARN")&gt;0,"PASS WITH WARNINGS","PASS"))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2026-10-17T11:55:13Z</dcterms:created>
  <dc:creator>openpyxl</dc:creator>
  <dc:description/>
  <dc:language>en-US</dc:language>
  <cp:lastModifiedBy/>
  <dcterms:modified xsi:type="dcterms:W3CDTF">2026-10-17T11:55:13Z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